
<file path=[Content_Types].xml><?xml version="1.0" encoding="utf-8"?>
<Types xmlns="http://schemas.openxmlformats.org/package/2006/content-types">
  <Default Extension="vml" ContentType="application/vnd.openxmlformats-officedocument.vmlDrawing"/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xl/persons/person.xml" ContentType="application/vnd.ms-excel.person+xml"/>
  <Override PartName="/xl/threadedComments/threadedComment1.xml" ContentType="application/vnd.ms-excel.threadedcomments+xml"/>
  <Override PartName="/xl/comments1.xml" ContentType="application/vnd.openxmlformats-officedocument.spreadsheetml.comment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 hidePivotFieldList="0"/>
  <workbookProtection lockStructure="0" lockWindows="0" workbookPassword="0000"/>
  <bookViews>
    <workbookView xWindow="360" yWindow="15" windowWidth="20955" windowHeight="9720" activeTab="0"/>
  </bookViews>
  <sheets>
    <sheet name="приложение № 3 2026г   " sheetId="1" state="visible" r:id="rId2"/>
  </sheets>
  <definedNames>
    <definedName name="_xlnm.Print_Area" localSheetId="0">'приложение № 3 2026г   '!$A$2:$G$70</definedName>
  </definedNames>
  <calcPr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tc={00C40012-001B-4B8E-8074-005E00B20070}</author>
    <author>tc={00F60017-00E8-4014-B269-002D0037009C}</author>
    <author>tc={00D100C5-00A2-4376-BE59-001E001800C1}</author>
    <author>tc={009300DD-00E1-4458-A23C-005F007000FF}</author>
    <author>tc={006E0024-008B-4642-BFB8-00E5006D001D}</author>
    <author>tc={000800E1-005F-441F-80A9-00E400D20004}</author>
    <author>tc={00FB0062-006E-42C0-8B9F-005800780042}</author>
    <author>tc={00550077-009D-4357-8860-008000C80088}</author>
  </authors>
  <commentList>
    <comment ref="E11" authorId="0" xr:uid="{00C40012-001B-4B8E-8074-005E00B20070}">
      <text>
        <r>
          <rPr>
            <b/>
            <sz val="9"/>
            <rFont val="Tahoma"/>
          </rPr>
          <t>Автор:</t>
        </r>
        <r>
          <rPr>
            <sz val="9"/>
            <rFont val="Tahoma"/>
          </rPr>
          <t xml:space="preserve">
 КР.Б (13М)весь + М.Б весь
</t>
        </r>
      </text>
    </comment>
    <comment ref="F12" authorId="1" xr:uid="{00F60017-00E8-4014-B269-002D0037009C}">
      <text>
        <r>
          <rPr>
            <b/>
            <sz val="9"/>
            <rFont val="Tahoma"/>
          </rPr>
          <t>Автор:</t>
        </r>
        <r>
          <rPr>
            <sz val="9"/>
            <rFont val="Tahoma"/>
          </rPr>
          <t xml:space="preserve">
Зарплата КР.Б (ст.211+ст.213)/численность детей
</t>
        </r>
      </text>
    </comment>
    <comment ref="E14" authorId="2" xr:uid="{00D100C5-00A2-4376-BE59-001E001800C1}">
      <text>
        <r>
          <rPr>
            <b/>
            <sz val="9"/>
            <rFont val="Tahoma"/>
          </rPr>
          <t>Автор:</t>
        </r>
        <r>
          <rPr>
            <sz val="9"/>
            <rFont val="Tahoma"/>
          </rPr>
          <t xml:space="preserve">
сумма плановую выделенную по М.Б 859266,00руб + план Род.плата 20 648 427,82 руб/ 1218детей план год=17 658,21 средняя
</t>
        </r>
      </text>
    </comment>
    <comment ref="E18" authorId="3" xr:uid="{009300DD-00E1-4458-A23C-005F007000FF}">
      <text>
        <r>
          <rPr>
            <b/>
            <sz val="9"/>
            <rFont val="Tahoma"/>
          </rPr>
          <t>Автор:</t>
        </r>
        <r>
          <rPr>
            <sz val="9"/>
            <rFont val="Tahoma"/>
          </rPr>
          <t xml:space="preserve">
сумма плановую выделенную по М.Б 859266,00руб + план Род.плата 20 648 427,82 руб/ 1218детей план год=17 658,21 средняя
</t>
        </r>
      </text>
    </comment>
    <comment ref="E22" authorId="4" xr:uid="{006E0024-008B-4642-BFB8-00E5006D001D}">
      <text>
        <r>
          <rPr>
            <b/>
            <sz val="9"/>
            <rFont val="Tahoma"/>
          </rPr>
          <t>Автор:</t>
        </r>
        <r>
          <rPr>
            <sz val="9"/>
            <rFont val="Tahoma"/>
          </rPr>
          <t xml:space="preserve">
сумма плановую выделенную по М.Б 859266,00руб + план Род.плата 20 648 427,82 руб/ 1218детей план год=17 658,21 средняя
</t>
        </r>
      </text>
    </comment>
    <comment ref="E26" authorId="5" xr:uid="{000800E1-005F-441F-80A9-00E400D20004}">
      <text>
        <r>
          <rPr>
            <b/>
            <sz val="9"/>
            <rFont val="Tahoma"/>
          </rPr>
          <t>Автор:</t>
        </r>
        <r>
          <rPr>
            <sz val="9"/>
            <rFont val="Tahoma"/>
          </rPr>
          <t xml:space="preserve">
сумма плановую выделенную по М.Б 859266,00руб + план Род.плата 20 648 427,82 руб/ 1218детей план год=17 658,21 средняя
</t>
        </r>
      </text>
    </comment>
    <comment ref="E30" authorId="6" xr:uid="{00FB0062-006E-42C0-8B9F-005800780042}">
      <text>
        <r>
          <rPr>
            <b/>
            <sz val="9"/>
            <rFont val="Tahoma"/>
          </rPr>
          <t>Автор:</t>
        </r>
        <r>
          <rPr>
            <sz val="9"/>
            <rFont val="Tahoma"/>
          </rPr>
          <t xml:space="preserve">
сумма плановую выделенную по М.Б 859266,00руб + план Род.плата 20 648 427,82 руб/ 1218детей план год=17 658,21 средняя
</t>
        </r>
      </text>
    </comment>
    <comment ref="E34" authorId="7" xr:uid="{00550077-009D-4357-8860-008000C80088}">
      <text>
        <r>
          <rPr>
            <b/>
            <sz val="9"/>
            <rFont val="Tahoma"/>
          </rPr>
          <t>Автор:</t>
        </r>
        <r>
          <rPr>
            <sz val="9"/>
            <rFont val="Tahoma"/>
          </rPr>
          <t xml:space="preserve">
сумма плановую выделенную по М.Б 859266,00руб + план Род.плата 20 648 427,82 руб/ 1218детей план год=17 658,21 средняя
</t>
        </r>
      </text>
    </comment>
  </commentList>
</comments>
</file>

<file path=xl/sharedStrings.xml><?xml version="1.0" encoding="utf-8"?>
<sst xmlns="http://schemas.openxmlformats.org/spreadsheetml/2006/main" count="62" uniqueCount="62">
  <si>
    <t xml:space="preserve">                                  Приложение № 3</t>
  </si>
  <si>
    <t xml:space="preserve">   Утверждено                                                                   постановлением администрации Дальнереченского городского округа                    от 13 июня 2024 года  № 741-па</t>
  </si>
  <si>
    <t xml:space="preserve">Размер базового норматива затрат на оказание муниципальной услуги муниципальными бюджетными учреждениями образования Дальнереченского городского округа на 2026 год</t>
  </si>
  <si>
    <t xml:space="preserve">№ п/п</t>
  </si>
  <si>
    <t>Подраздел</t>
  </si>
  <si>
    <t xml:space="preserve">Наименование муниципальных учреждений, оказывающих муниципальную услугу</t>
  </si>
  <si>
    <t xml:space="preserve">Реестровый номер по общероссийскому базовому перечню услуг и работ</t>
  </si>
  <si>
    <t xml:space="preserve">Базовый норматив затрат на оказание муниципальной услуги, руб.</t>
  </si>
  <si>
    <t xml:space="preserve">в том числе:</t>
  </si>
  <si>
    <t xml:space="preserve">Суммы затрат на оплату труда с начислениями на выплаты по оплате труда работников, непосредственно связанных с оказанием муниципальной услуги, руб.</t>
  </si>
  <si>
    <t xml:space="preserve">Суммы затрат на коммунальные услуги и содержание недвижимого имущества, необходимого для выполнения муниципального задания на оказание услуги, руб.</t>
  </si>
  <si>
    <t xml:space="preserve">очередной 2024 год</t>
  </si>
  <si>
    <t xml:space="preserve">первый год планового периода       2025 г.</t>
  </si>
  <si>
    <t xml:space="preserve">второй год планового периода 2026г.</t>
  </si>
  <si>
    <t>1.</t>
  </si>
  <si>
    <t>0701</t>
  </si>
  <si>
    <t xml:space="preserve">МБДОУ  «Детский сад № 1» </t>
  </si>
  <si>
    <t>х</t>
  </si>
  <si>
    <t xml:space="preserve">Реализация основных общеобразовательных программ дошкольного образования</t>
  </si>
  <si>
    <t>801011О.99.0.БВ24ДН82000</t>
  </si>
  <si>
    <t xml:space="preserve">Присмотр и уход </t>
  </si>
  <si>
    <t>853211О.99.0.БВ19АА56000</t>
  </si>
  <si>
    <t xml:space="preserve">Присмотр и уход</t>
  </si>
  <si>
    <t>853211О.99.0.БВ19АА14000</t>
  </si>
  <si>
    <t xml:space="preserve">МБДОУ  «ЦРР-детский сад № 4» </t>
  </si>
  <si>
    <t xml:space="preserve">МБДОУ  «ЦРР-детский сад № 5» </t>
  </si>
  <si>
    <t xml:space="preserve">МБДОУ  «Детский сад № 7» </t>
  </si>
  <si>
    <t xml:space="preserve">МБДОУ  «ЦРР-детский сад № 10» </t>
  </si>
  <si>
    <t xml:space="preserve">МБДОУ  «ЦРР-детский сад № 12» </t>
  </si>
  <si>
    <t xml:space="preserve">ИТОГО по дошкольному образованию</t>
  </si>
  <si>
    <t>0702</t>
  </si>
  <si>
    <t xml:space="preserve">МБОУ  «Лицей»</t>
  </si>
  <si>
    <t xml:space="preserve">Реализация основных общеобразовательных программ начального общего образования</t>
  </si>
  <si>
    <t>801012О.99.0.БА81АЭ92001</t>
  </si>
  <si>
    <t xml:space="preserve">Реализация основных общеобразовательных программ основного общего образования</t>
  </si>
  <si>
    <t>802111О.99.0.БА96АЮ58001</t>
  </si>
  <si>
    <t xml:space="preserve">Реализация основных общеобразовательных программ среднего общего образования</t>
  </si>
  <si>
    <t>802112О.99.0.ББ11АЮ58001</t>
  </si>
  <si>
    <t xml:space="preserve">МБОУ  «СОШ № 2»</t>
  </si>
  <si>
    <t xml:space="preserve">Реализация основных общеобразовательных программ основного общего образования (заочная)</t>
  </si>
  <si>
    <t>802111О.99.0.БА96АЮ66001</t>
  </si>
  <si>
    <t xml:space="preserve">Реализация основных общеобразовательных программсреднего общего образования</t>
  </si>
  <si>
    <t xml:space="preserve">МБОУ  «СОШ № 3»</t>
  </si>
  <si>
    <t xml:space="preserve">МБОУ  «СОШ № 5»</t>
  </si>
  <si>
    <t>11787000301000109006100</t>
  </si>
  <si>
    <t xml:space="preserve">Реализация основных общеобразовательных программсреднего общего образования (заочная)</t>
  </si>
  <si>
    <t>802112О.99.0.ББ11АЮ66001</t>
  </si>
  <si>
    <t xml:space="preserve">МБОУ  «СОШ № 6»</t>
  </si>
  <si>
    <t xml:space="preserve">МБОУ  «ООШ № 12»</t>
  </si>
  <si>
    <t xml:space="preserve">ИТОГО по общему образованию</t>
  </si>
  <si>
    <t>0703</t>
  </si>
  <si>
    <t xml:space="preserve">МБОУ ДОД «ДЮСШ»</t>
  </si>
  <si>
    <t xml:space="preserve">Реализация дополнительных общеразвивающих программ</t>
  </si>
  <si>
    <t>804200О.99.0.ББ52АИ16000</t>
  </si>
  <si>
    <t xml:space="preserve">ИТОГО по дополнительному образованию</t>
  </si>
  <si>
    <t xml:space="preserve">ВСЕГО по типу учреждений (целевой статье)</t>
  </si>
  <si>
    <t>ИТОГО</t>
  </si>
  <si>
    <t>1102</t>
  </si>
  <si>
    <t xml:space="preserve">МБУ «СПАРТА»</t>
  </si>
  <si>
    <t xml:space="preserve">Спортивная подготовка по олимпийским видам спорта</t>
  </si>
  <si>
    <t>'931900О.99.0.БВ27АА25001</t>
  </si>
  <si>
    <t>'931900О.99.0.БВ27АВ15001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</si>
</sst>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8">
    <numFmt numFmtId="160" formatCode="_-* #,##0.00&quot;р.&quot;_-;\-* #,##0.00&quot;р.&quot;_-;_-* &quot;-&quot;??&quot;р.&quot;_-;_-@_-"/>
    <numFmt numFmtId="161" formatCode="_-* #,##0&quot;р.&quot;_-;\-* #,##0&quot;р.&quot;_-;_-* &quot;-&quot;&quot;р.&quot;_-;_-@_-"/>
    <numFmt numFmtId="162" formatCode="_-* #,##0.00_р_._-;\-* #,##0.00_р_._-;_-* &quot;-&quot;??_р_._-;_-@_-"/>
    <numFmt numFmtId="163" formatCode="_-* #,##0_р_._-;\-* #,##0_р_._-;_-* &quot;-&quot;_р_._-;_-@_-"/>
    <numFmt numFmtId="164" formatCode="#,##0.000000"/>
    <numFmt numFmtId="165" formatCode="#,##0.0000"/>
    <numFmt numFmtId="166" formatCode="#,##0.00000"/>
    <numFmt numFmtId="167" formatCode="0.00000"/>
  </numFmts>
  <fonts count="34">
    <font>
      <sz val="11.000000"/>
      <color theme="1" tint="0"/>
      <name val="Calibri"/>
      <scheme val="minor"/>
    </font>
    <font>
      <sz val="11.000000"/>
      <color theme="0" tint="0"/>
      <name val="Calibri"/>
      <scheme val="minor"/>
    </font>
    <font>
      <sz val="8.000000"/>
      <color indexed="64"/>
      <name val="Times New Roman"/>
    </font>
    <font>
      <sz val="8.000000"/>
      <name val="Arial Cyr"/>
    </font>
    <font>
      <sz val="11.000000"/>
      <color rgb="FF3F3F76"/>
      <name val="Calibri"/>
      <scheme val="minor"/>
    </font>
    <font>
      <b/>
      <sz val="11.000000"/>
      <color rgb="FF3F3F3F"/>
      <name val="Calibri"/>
      <scheme val="minor"/>
    </font>
    <font>
      <b/>
      <sz val="11.000000"/>
      <color rgb="FFFA7D00"/>
      <name val="Calibri"/>
      <scheme val="minor"/>
    </font>
    <font>
      <u/>
      <sz val="11.000000"/>
      <color theme="10" tint="0"/>
      <name val="Calibri"/>
    </font>
    <font>
      <sz val="11.000000"/>
      <color indexed="64"/>
      <name val="Calibri"/>
    </font>
    <font>
      <b/>
      <sz val="15.000000"/>
      <color theme="3" tint="0"/>
      <name val="Calibri"/>
      <scheme val="minor"/>
    </font>
    <font>
      <b/>
      <sz val="13.000000"/>
      <color theme="3" tint="0"/>
      <name val="Calibri"/>
      <scheme val="minor"/>
    </font>
    <font>
      <b/>
      <sz val="11.000000"/>
      <color theme="3" tint="0"/>
      <name val="Calibri"/>
      <scheme val="minor"/>
    </font>
    <font>
      <b/>
      <sz val="11.000000"/>
      <color theme="1" tint="0"/>
      <name val="Calibri"/>
      <scheme val="minor"/>
    </font>
    <font>
      <b/>
      <sz val="11.000000"/>
      <color theme="0" tint="0"/>
      <name val="Calibri"/>
      <scheme val="minor"/>
    </font>
    <font>
      <b/>
      <sz val="18.000000"/>
      <color theme="3" tint="0"/>
      <name val="Cambria"/>
      <scheme val="major"/>
    </font>
    <font>
      <sz val="11.000000"/>
      <color rgb="FF9C6500"/>
      <name val="Calibri"/>
      <scheme val="minor"/>
    </font>
    <font>
      <sz val="10.000000"/>
      <name val="Arial Cyr"/>
    </font>
    <font>
      <u/>
      <sz val="11.000000"/>
      <color indexed="20"/>
      <name val="Calibri"/>
    </font>
    <font>
      <sz val="11.000000"/>
      <color rgb="FF9C0006"/>
      <name val="Calibri"/>
      <scheme val="minor"/>
    </font>
    <font>
      <i/>
      <sz val="11.000000"/>
      <color rgb="FF7F7F7F"/>
      <name val="Calibri"/>
      <scheme val="minor"/>
    </font>
    <font>
      <sz val="11.000000"/>
      <color rgb="FFFA7D00"/>
      <name val="Calibri"/>
      <scheme val="minor"/>
    </font>
    <font>
      <sz val="11.000000"/>
      <color indexed="2"/>
      <name val="Calibri"/>
      <scheme val="minor"/>
    </font>
    <font>
      <sz val="11.000000"/>
      <color rgb="FF006100"/>
      <name val="Calibri"/>
      <scheme val="minor"/>
    </font>
    <font>
      <sz val="11.000000"/>
      <color indexed="64"/>
      <name val="Times New Roman"/>
    </font>
    <font>
      <sz val="12.000000"/>
      <color indexed="64"/>
      <name val="Times New Roman"/>
    </font>
    <font>
      <sz val="20.000000"/>
      <color indexed="64"/>
      <name val="Times New Roman"/>
    </font>
    <font>
      <sz val="14.000000"/>
      <color indexed="64"/>
      <name val="Times New Roman"/>
    </font>
    <font>
      <b/>
      <sz val="14.000000"/>
      <color indexed="64"/>
      <name val="Times New Roman"/>
    </font>
    <font>
      <b/>
      <sz val="14.000000"/>
      <name val="Times New Roman"/>
    </font>
    <font>
      <sz val="12.000000"/>
      <name val="Times New Roman"/>
    </font>
    <font>
      <sz val="14.000000"/>
      <name val="Times New Roman"/>
    </font>
    <font>
      <sz val="14.000000"/>
      <color theme="0" tint="0"/>
      <name val="Times New Roman"/>
    </font>
    <font>
      <sz val="12.000000"/>
      <color indexed="2"/>
      <name val="Times New Roman"/>
    </font>
    <font>
      <b/>
      <sz val="12.000000"/>
      <color indexed="2"/>
      <name val="Times New Roman"/>
    </font>
  </fonts>
  <fills count="34">
    <fill>
      <patternFill patternType="none"/>
    </fill>
    <fill>
      <patternFill patternType="gray125"/>
    </fill>
    <fill>
      <patternFill patternType="solid">
        <fgColor indexed="31"/>
        <bgColor indexed="65"/>
      </patternFill>
    </fill>
    <fill>
      <patternFill patternType="solid">
        <fgColor indexed="45"/>
        <bgColor indexed="65"/>
      </patternFill>
    </fill>
    <fill>
      <patternFill patternType="solid">
        <fgColor indexed="42"/>
        <bgColor indexed="65"/>
      </patternFill>
    </fill>
    <fill>
      <patternFill patternType="solid">
        <fgColor indexed="46"/>
        <bgColor indexed="65"/>
      </patternFill>
    </fill>
    <fill>
      <patternFill patternType="solid">
        <fgColor theme="8" tint="0.79998199999999997"/>
        <bgColor indexed="65"/>
      </patternFill>
    </fill>
    <fill>
      <patternFill patternType="solid">
        <fgColor theme="9" tint="0.79998199999999997"/>
        <bgColor indexed="65"/>
      </patternFill>
    </fill>
    <fill>
      <patternFill patternType="solid">
        <fgColor theme="4" tint="0.59999400000000003"/>
        <bgColor indexed="65"/>
      </patternFill>
    </fill>
    <fill>
      <patternFill patternType="solid">
        <fgColor theme="5" tint="0.59999400000000003"/>
        <bgColor indexed="65"/>
      </patternFill>
    </fill>
    <fill>
      <patternFill patternType="solid">
        <fgColor indexed="3"/>
        <bgColor indexed="65"/>
      </patternFill>
    </fill>
    <fill>
      <patternFill patternType="solid">
        <fgColor theme="7" tint="0.59999400000000003"/>
        <bgColor indexed="65"/>
      </patternFill>
    </fill>
    <fill>
      <patternFill patternType="solid">
        <fgColor theme="8" tint="0.59999400000000003"/>
        <bgColor indexed="65"/>
      </patternFill>
    </fill>
    <fill>
      <patternFill patternType="solid">
        <fgColor theme="9" tint="0.59999400000000003"/>
        <bgColor indexed="65"/>
      </patternFill>
    </fill>
    <fill>
      <patternFill patternType="solid">
        <fgColor theme="4" tint="0.399976"/>
        <bgColor indexed="65"/>
      </patternFill>
    </fill>
    <fill>
      <patternFill patternType="solid">
        <fgColor theme="5" tint="0.399976"/>
        <bgColor indexed="65"/>
      </patternFill>
    </fill>
    <fill>
      <patternFill patternType="solid">
        <fgColor indexed="20"/>
        <bgColor indexed="65"/>
      </patternFill>
    </fill>
    <fill>
      <patternFill patternType="solid">
        <fgColor theme="8" tint="0.399976"/>
        <bgColor indexed="65"/>
      </patternFill>
    </fill>
    <fill>
      <patternFill patternType="solid">
        <fgColor indexed="52"/>
        <bgColor indexed="65"/>
      </patternFill>
    </fill>
    <fill>
      <patternFill patternType="solid">
        <fgColor indexed="65"/>
        <bgColor indexed="65"/>
      </patternFill>
    </fill>
    <fill>
      <patternFill patternType="solid">
        <fgColor theme="4" tint="0"/>
        <bgColor indexed="65"/>
      </patternFill>
    </fill>
    <fill>
      <patternFill patternType="solid">
        <fgColor theme="5" tint="0"/>
        <bgColor indexed="65"/>
      </patternFill>
    </fill>
    <fill>
      <patternFill patternType="solid">
        <fgColor theme="6" tint="0"/>
        <bgColor indexed="65"/>
      </patternFill>
    </fill>
    <fill>
      <patternFill patternType="solid">
        <fgColor theme="7" tint="0"/>
        <bgColor indexed="65"/>
      </patternFill>
    </fill>
    <fill>
      <patternFill patternType="solid">
        <fgColor theme="8" tint="0"/>
        <bgColor indexed="65"/>
      </patternFill>
    </fill>
    <fill>
      <patternFill patternType="solid">
        <fgColor theme="9" tint="0"/>
        <bgColor indexed="65"/>
      </patternFill>
    </fill>
    <fill>
      <patternFill patternType="solid">
        <fgColor indexed="47"/>
        <bgColor indexed="65"/>
      </patternFill>
    </fill>
    <fill>
      <patternFill patternType="solid">
        <fgColor rgb="FFF2F2F2"/>
        <bgColor indexed="65"/>
      </patternFill>
    </fill>
    <fill>
      <patternFill patternType="solid">
        <fgColor rgb="FFA5A5A5"/>
        <bgColor indexed="65"/>
      </patternFill>
    </fill>
    <fill>
      <patternFill patternType="solid">
        <fgColor rgb="FFFFEB9C"/>
        <bgColor indexed="65"/>
      </patternFill>
    </fill>
    <fill>
      <patternFill patternType="solid">
        <fgColor rgb="FFFFC7CE"/>
        <bgColor indexed="65"/>
      </patternFill>
    </fill>
    <fill>
      <patternFill patternType="solid">
        <fgColor indexed="26"/>
        <bgColor indexed="65"/>
      </patternFill>
    </fill>
    <fill>
      <patternFill patternType="solid">
        <fgColor rgb="FFC6EFCE"/>
        <bgColor indexed="65"/>
      </patternFill>
    </fill>
    <fill>
      <patternFill patternType="solid">
        <fgColor rgb="FFFFFFDD"/>
        <bgColor rgb="FFFFFFDD"/>
      </patternFill>
    </fill>
  </fills>
  <borders count="21">
    <border>
      <left style="none"/>
      <right style="none"/>
      <top style="none"/>
      <bottom style="none"/>
      <diagonal style="none"/>
    </border>
    <border>
      <left style="medium">
        <color indexed="64"/>
      </left>
      <right style="thin">
        <color indexed="64"/>
      </right>
      <top style="thin">
        <color indexed="64"/>
      </top>
      <bottom style="none"/>
      <diagonal style="none"/>
    </border>
    <border>
      <left style="thin">
        <color indexed="64"/>
      </left>
      <right style="thin">
        <color indexed="64"/>
      </right>
      <top style="thin">
        <color indexed="64"/>
      </top>
      <bottom style="none"/>
      <diagonal style="none"/>
    </border>
    <border>
      <left style="thin">
        <color indexed="64"/>
      </left>
      <right style="thin">
        <color indexed="64"/>
      </right>
      <top style="none"/>
      <bottom style="none"/>
      <diagonal style="none"/>
    </border>
    <border>
      <left style="thin">
        <color indexed="64"/>
      </left>
      <right style="thin">
        <color indexed="64"/>
      </right>
      <top style="none"/>
      <bottom style="thin">
        <color indexed="64"/>
      </bottom>
      <diagonal style="none"/>
    </border>
    <border>
      <left style="thin">
        <color indexed="64"/>
      </left>
      <right style="none"/>
      <top style="none"/>
      <bottom style="thin">
        <color indexed="64"/>
      </bottom>
      <diagonal style="none"/>
    </border>
    <border>
      <left style="none"/>
      <right style="thin">
        <color indexed="64"/>
      </right>
      <top style="none"/>
      <bottom style="thin">
        <color indexed="64"/>
      </bottom>
      <diagonal style="none"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none"/>
    </border>
    <border>
      <left style="thin">
        <color indexed="64"/>
      </left>
      <right style="medium">
        <color indexed="64"/>
      </right>
      <top style="thin">
        <color indexed="64"/>
      </top>
      <bottom style="none"/>
      <diagonal style="none"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 style="none"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 style="none"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 style="none"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 style="none"/>
    </border>
    <border>
      <left style="none"/>
      <right style="none"/>
      <top style="none"/>
      <bottom style="thick">
        <color theme="4" tint="0"/>
      </bottom>
      <diagonal style="none"/>
    </border>
    <border>
      <left style="none"/>
      <right style="none"/>
      <top style="none"/>
      <bottom style="thick">
        <color theme="4" tint="0.49998500000000001"/>
      </bottom>
      <diagonal style="none"/>
    </border>
    <border>
      <left style="none"/>
      <right style="none"/>
      <top style="none"/>
      <bottom style="medium">
        <color theme="4" tint="0.399976"/>
      </bottom>
      <diagonal style="none"/>
    </border>
    <border>
      <left style="none"/>
      <right style="none"/>
      <top style="thin">
        <color theme="4" tint="0"/>
      </top>
      <bottom style="double">
        <color theme="4" tint="0"/>
      </bottom>
      <diagonal style="none"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 style="none"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 style="none"/>
    </border>
    <border>
      <left style="none"/>
      <right style="none"/>
      <top style="none"/>
      <bottom style="double">
        <color rgb="FFFF800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</borders>
  <cellStyleXfs count="65">
    <xf fontId="0" fillId="0" borderId="0" numFmtId="0" applyNumberFormat="1" applyFont="1" applyFill="1" applyBorder="1"/>
    <xf fontId="0" fillId="2" borderId="0" numFmtId="0" applyNumberFormat="1" applyFont="1" applyFill="1" applyBorder="1"/>
    <xf fontId="0" fillId="3" borderId="0" numFmtId="0" applyNumberFormat="1" applyFont="1" applyFill="1" applyBorder="1"/>
    <xf fontId="0" fillId="4" borderId="0" numFmtId="0" applyNumberFormat="1" applyFont="1" applyFill="1" applyBorder="1"/>
    <xf fontId="0" fillId="5" borderId="0" numFmtId="0" applyNumberFormat="1" applyFont="1" applyFill="1" applyBorder="1"/>
    <xf fontId="0" fillId="6" borderId="0" numFmtId="0" applyNumberFormat="1" applyFont="1" applyFill="1" applyBorder="1"/>
    <xf fontId="0" fillId="7" borderId="0" numFmtId="0" applyNumberFormat="1" applyFont="1" applyFill="1" applyBorder="1"/>
    <xf fontId="0" fillId="8" borderId="0" numFmtId="0" applyNumberFormat="1" applyFont="1" applyFill="1" applyBorder="1"/>
    <xf fontId="0" fillId="9" borderId="0" numFmtId="0" applyNumberFormat="1" applyFont="1" applyFill="1" applyBorder="1"/>
    <xf fontId="0" fillId="10" borderId="0" numFmtId="0" applyNumberFormat="1" applyFont="1" applyFill="1" applyBorder="1"/>
    <xf fontId="0" fillId="11" borderId="0" numFmtId="0" applyNumberFormat="1" applyFont="1" applyFill="1" applyBorder="1"/>
    <xf fontId="0" fillId="12" borderId="0" numFmtId="0" applyNumberFormat="1" applyFont="1" applyFill="1" applyBorder="1"/>
    <xf fontId="0" fillId="13" borderId="0" numFmtId="0" applyNumberFormat="1" applyFont="1" applyFill="1" applyBorder="1"/>
    <xf fontId="1" fillId="14" borderId="0" numFmtId="0" applyNumberFormat="1" applyFont="1" applyFill="1" applyBorder="1"/>
    <xf fontId="1" fillId="15" borderId="0" numFmtId="0" applyNumberFormat="1" applyFont="1" applyFill="1" applyBorder="1"/>
    <xf fontId="1" fillId="10" borderId="0" numFmtId="0" applyNumberFormat="1" applyFont="1" applyFill="1" applyBorder="1"/>
    <xf fontId="1" fillId="16" borderId="0" numFmtId="0" applyNumberFormat="1" applyFont="1" applyFill="1" applyBorder="1"/>
    <xf fontId="1" fillId="17" borderId="0" numFmtId="0" applyNumberFormat="1" applyFont="1" applyFill="1" applyBorder="1"/>
    <xf fontId="1" fillId="18" borderId="0" numFmtId="0" applyNumberFormat="1" applyFont="1" applyFill="1" applyBorder="1"/>
    <xf fontId="2" fillId="19" borderId="1" numFmtId="49" applyNumberFormat="1" applyFont="1" applyFill="1" applyBorder="1">
      <alignment horizontal="center" vertical="center" wrapText="1"/>
    </xf>
    <xf fontId="2" fillId="19" borderId="2" numFmtId="49" applyNumberFormat="1" applyFont="1" applyFill="1" applyBorder="1">
      <alignment horizontal="center"/>
    </xf>
    <xf fontId="2" fillId="19" borderId="3" numFmtId="49" applyNumberFormat="1" applyFont="1" applyFill="1" applyBorder="1">
      <alignment horizontal="center"/>
    </xf>
    <xf fontId="2" fillId="19" borderId="4" numFmtId="49" applyNumberFormat="1" applyFont="1" applyFill="1" applyBorder="1">
      <alignment horizontal="center"/>
    </xf>
    <xf fontId="2" fillId="0" borderId="2" numFmtId="49" applyNumberFormat="1" applyFont="1" applyFill="1" applyBorder="1">
      <alignment horizontal="center"/>
    </xf>
    <xf fontId="2" fillId="0" borderId="3" numFmtId="49" applyNumberFormat="1" applyFont="1" applyFill="1" applyBorder="1">
      <alignment horizontal="center"/>
    </xf>
    <xf fontId="2" fillId="0" borderId="4" numFmtId="49" applyNumberFormat="1" applyFont="1" applyFill="1" applyBorder="1">
      <alignment horizontal="center"/>
    </xf>
    <xf fontId="2" fillId="0" borderId="5" numFmtId="49" applyNumberFormat="1" applyFont="1" applyFill="1" applyBorder="1">
      <alignment horizontal="center"/>
    </xf>
    <xf fontId="2" fillId="0" borderId="6" numFmtId="49" applyNumberFormat="1" applyFont="1" applyFill="1" applyBorder="1">
      <alignment horizontal="center"/>
    </xf>
    <xf fontId="2" fillId="0" borderId="7" numFmtId="0" applyNumberFormat="1" applyFont="1" applyFill="1" applyBorder="1">
      <alignment horizontal="center" vertical="center"/>
    </xf>
    <xf fontId="2" fillId="0" borderId="8" numFmtId="0" applyNumberFormat="1" applyFont="1" applyFill="1" applyBorder="1">
      <alignment horizontal="left" vertical="top" wrapText="1"/>
    </xf>
    <xf fontId="2" fillId="19" borderId="9" numFmtId="49" applyNumberFormat="1" applyFont="1" applyFill="1" applyBorder="1">
      <alignment horizontal="center" vertical="center"/>
    </xf>
    <xf fontId="3" fillId="0" borderId="10" numFmtId="0" applyNumberFormat="1" applyFont="1" applyFill="1" applyBorder="1">
      <alignment horizontal="left" vertical="center" wrapText="1"/>
    </xf>
    <xf fontId="2" fillId="0" borderId="9" numFmtId="0" applyNumberFormat="1" applyFont="1" applyFill="1" applyBorder="1">
      <alignment horizontal="center" vertical="center"/>
    </xf>
    <xf fontId="1" fillId="20" borderId="0" numFmtId="0" applyNumberFormat="1" applyFont="1" applyFill="1" applyBorder="1"/>
    <xf fontId="1" fillId="21" borderId="0" numFmtId="0" applyNumberFormat="1" applyFont="1" applyFill="1" applyBorder="1"/>
    <xf fontId="1" fillId="22" borderId="0" numFmtId="0" applyNumberFormat="1" applyFont="1" applyFill="1" applyBorder="1"/>
    <xf fontId="1" fillId="23" borderId="0" numFmtId="0" applyNumberFormat="1" applyFont="1" applyFill="1" applyBorder="1"/>
    <xf fontId="1" fillId="24" borderId="0" numFmtId="0" applyNumberFormat="1" applyFont="1" applyFill="1" applyBorder="1"/>
    <xf fontId="1" fillId="25" borderId="0" numFmtId="0" applyNumberFormat="1" applyFont="1" applyFill="1" applyBorder="1"/>
    <xf fontId="4" fillId="26" borderId="11" numFmtId="0" applyNumberFormat="1" applyFont="1" applyFill="1" applyBorder="1"/>
    <xf fontId="5" fillId="27" borderId="12" numFmtId="0" applyNumberFormat="1" applyFont="1" applyFill="1" applyBorder="1"/>
    <xf fontId="6" fillId="27" borderId="11" numFmtId="0" applyNumberFormat="1" applyFont="1" applyFill="1" applyBorder="1"/>
    <xf fontId="7" fillId="0" borderId="0" numFmtId="0" applyNumberFormat="1" applyFont="1" applyFill="1" applyBorder="1">
      <alignment vertical="top"/>
    </xf>
    <xf fontId="8" fillId="0" borderId="0" numFmtId="160" applyNumberFormat="1" applyFont="1" applyFill="1" applyBorder="1"/>
    <xf fontId="8" fillId="0" borderId="0" numFmtId="161" applyNumberFormat="1" applyFont="1" applyFill="1" applyBorder="1"/>
    <xf fontId="9" fillId="0" borderId="13" numFmtId="0" applyNumberFormat="1" applyFont="1" applyFill="1" applyBorder="1"/>
    <xf fontId="10" fillId="0" borderId="14" numFmtId="0" applyNumberFormat="1" applyFont="1" applyFill="1" applyBorder="1"/>
    <xf fontId="11" fillId="0" borderId="15" numFmtId="0" applyNumberFormat="1" applyFont="1" applyFill="1" applyBorder="1"/>
    <xf fontId="11" fillId="0" borderId="0" numFmtId="0" applyNumberFormat="1" applyFont="1" applyFill="1" applyBorder="1"/>
    <xf fontId="12" fillId="0" borderId="16" numFmtId="0" applyNumberFormat="1" applyFont="1" applyFill="1" applyBorder="1"/>
    <xf fontId="13" fillId="28" borderId="17" numFmtId="0" applyNumberFormat="1" applyFont="1" applyFill="1" applyBorder="1"/>
    <xf fontId="14" fillId="0" borderId="0" numFmtId="0" applyNumberFormat="1" applyFont="1" applyFill="1" applyBorder="1"/>
    <xf fontId="15" fillId="29" borderId="0" numFmtId="0" applyNumberFormat="1" applyFont="1" applyFill="1" applyBorder="1"/>
    <xf fontId="16" fillId="0" borderId="0" numFmtId="0" applyNumberFormat="1" applyFont="1" applyFill="1" applyBorder="1"/>
    <xf fontId="16" fillId="0" borderId="0" numFmtId="0" applyNumberFormat="1" applyFont="1" applyFill="1" applyBorder="1"/>
    <xf fontId="17" fillId="0" borderId="0" numFmtId="0" applyNumberFormat="1" applyFont="1" applyFill="1" applyBorder="1">
      <alignment vertical="top"/>
    </xf>
    <xf fontId="18" fillId="30" borderId="0" numFmtId="0" applyNumberFormat="1" applyFont="1" applyFill="1" applyBorder="1"/>
    <xf fontId="19" fillId="0" borderId="0" numFmtId="0" applyNumberFormat="1" applyFont="1" applyFill="1" applyBorder="1"/>
    <xf fontId="8" fillId="31" borderId="18" numFmtId="0" applyNumberFormat="1" applyFont="1" applyFill="1" applyBorder="1"/>
    <xf fontId="8" fillId="0" borderId="0" numFmtId="9" applyNumberFormat="1" applyFont="1" applyFill="1" applyBorder="1"/>
    <xf fontId="20" fillId="0" borderId="19" numFmtId="0" applyNumberFormat="1" applyFont="1" applyFill="1" applyBorder="1"/>
    <xf fontId="21" fillId="0" borderId="0" numFmtId="0" applyNumberFormat="1" applyFont="1" applyFill="1" applyBorder="1"/>
    <xf fontId="8" fillId="0" borderId="0" numFmtId="162" applyNumberFormat="1" applyFont="1" applyFill="1" applyBorder="1"/>
    <xf fontId="8" fillId="0" borderId="0" numFmtId="163" applyNumberFormat="1" applyFont="1" applyFill="1" applyBorder="1"/>
    <xf fontId="22" fillId="32" borderId="0" numFmtId="0" applyNumberFormat="1" applyFont="1" applyFill="1" applyBorder="1"/>
  </cellStyleXfs>
  <cellXfs count="60">
    <xf fontId="0" fillId="0" borderId="0" numFmtId="0" xfId="0"/>
    <xf fontId="23" fillId="0" borderId="0" numFmtId="0" xfId="0" applyFont="1" applyAlignment="1">
      <alignment vertical="top" wrapText="1"/>
    </xf>
    <xf fontId="24" fillId="0" borderId="0" numFmtId="0" xfId="0" applyFont="1" applyAlignment="1">
      <alignment vertical="top" wrapText="1"/>
    </xf>
    <xf fontId="25" fillId="0" borderId="0" numFmtId="0" xfId="0" applyFont="1" applyAlignment="1">
      <alignment horizontal="center" vertical="top" wrapText="1"/>
    </xf>
    <xf fontId="25" fillId="0" borderId="0" numFmtId="0" xfId="0" applyFont="1" applyAlignment="1">
      <alignment vertical="top" wrapText="1"/>
    </xf>
    <xf fontId="26" fillId="0" borderId="0" numFmtId="0" xfId="0" applyFont="1" applyAlignment="1">
      <alignment vertical="top" wrapText="1"/>
    </xf>
    <xf fontId="27" fillId="0" borderId="0" numFmtId="0" xfId="0" applyFont="1" applyAlignment="1">
      <alignment horizontal="center"/>
    </xf>
    <xf fontId="26" fillId="0" borderId="0" numFmtId="0" xfId="0" applyFont="1" applyAlignment="1">
      <alignment horizontal="justify"/>
    </xf>
    <xf fontId="26" fillId="0" borderId="0" numFmtId="0" xfId="0" applyFont="1"/>
    <xf fontId="23" fillId="0" borderId="0" numFmtId="0" xfId="0" applyFont="1"/>
    <xf fontId="26" fillId="0" borderId="20" numFmtId="0" xfId="0" applyFont="1" applyBorder="1" applyAlignment="1">
      <alignment vertical="center" wrapText="1"/>
    </xf>
    <xf fontId="26" fillId="0" borderId="20" numFmtId="0" xfId="0" applyFont="1" applyBorder="1" applyAlignment="1">
      <alignment horizontal="center" vertical="center" wrapText="1"/>
    </xf>
    <xf fontId="26" fillId="0" borderId="20" numFmtId="0" xfId="0" applyFont="1" applyBorder="1" applyAlignment="1">
      <alignment horizontal="center" vertical="top" wrapText="1"/>
    </xf>
    <xf fontId="26" fillId="0" borderId="20" numFmtId="0" xfId="0" applyFont="1" applyBorder="1" applyAlignment="1">
      <alignment vertical="top" wrapText="1"/>
    </xf>
    <xf fontId="24" fillId="0" borderId="0" numFmtId="0" xfId="0" applyFont="1" applyAlignment="1">
      <alignment horizontal="center" vertical="top" wrapText="1"/>
    </xf>
    <xf fontId="26" fillId="0" borderId="20" numFmtId="0" xfId="0" applyFont="1" applyBorder="1" applyAlignment="1">
      <alignment horizontal="center" vertical="top"/>
    </xf>
    <xf fontId="27" fillId="0" borderId="20" numFmtId="0" xfId="0" applyFont="1" applyBorder="1" applyAlignment="1">
      <alignment vertical="center" wrapText="1"/>
    </xf>
    <xf fontId="28" fillId="0" borderId="20" numFmtId="4" xfId="0" applyNumberFormat="1" applyFont="1" applyBorder="1" applyAlignment="1">
      <alignment horizontal="center" vertical="center" wrapText="1"/>
    </xf>
    <xf fontId="24" fillId="33" borderId="0" numFmtId="4" xfId="0" applyNumberFormat="1" applyFont="1" applyFill="1" applyAlignment="1">
      <alignment horizontal="center" vertical="top" wrapText="1"/>
    </xf>
    <xf fontId="29" fillId="0" borderId="0" numFmtId="0" xfId="0" applyFont="1" applyAlignment="1">
      <alignment horizontal="center" vertical="top" wrapText="1"/>
    </xf>
    <xf fontId="30" fillId="0" borderId="20" numFmtId="0" xfId="0" applyFont="1" applyBorder="1" applyAlignment="1">
      <alignment horizontal="center" vertical="top" wrapText="1"/>
    </xf>
    <xf fontId="30" fillId="0" borderId="20" numFmtId="0" xfId="43" applyFont="1" applyBorder="1" applyAlignment="1" applyProtection="1">
      <alignment vertical="top" wrapText="1"/>
    </xf>
    <xf fontId="30" fillId="0" borderId="20" numFmtId="1" xfId="0" applyNumberFormat="1" applyFont="1" applyBorder="1" applyAlignment="1">
      <alignment horizontal="center" vertical="top" wrapText="1"/>
    </xf>
    <xf fontId="30" fillId="0" borderId="20" numFmtId="164" xfId="43" applyNumberFormat="1" applyFont="1" applyBorder="1" applyAlignment="1" applyProtection="1">
      <alignment horizontal="center" vertical="center" wrapText="1"/>
    </xf>
    <xf fontId="30" fillId="0" borderId="20" numFmtId="4" xfId="0" applyNumberFormat="1" applyFont="1" applyBorder="1" applyAlignment="1">
      <alignment horizontal="center" vertical="center" wrapText="1"/>
    </xf>
    <xf fontId="30" fillId="0" borderId="20" numFmtId="165" xfId="0" applyNumberFormat="1" applyFont="1" applyBorder="1" applyAlignment="1">
      <alignment horizontal="center" vertical="center" wrapText="1"/>
    </xf>
    <xf fontId="30" fillId="0" borderId="20" numFmtId="0" xfId="0" applyFont="1" applyBorder="1" applyAlignment="1">
      <alignment horizontal="center" vertical="center" wrapText="1"/>
    </xf>
    <xf fontId="29" fillId="0" borderId="0" numFmtId="166" xfId="0" applyNumberFormat="1" applyFont="1" applyAlignment="1">
      <alignment horizontal="center" vertical="top" wrapText="1"/>
    </xf>
    <xf fontId="30" fillId="0" borderId="20" numFmtId="4" xfId="43" applyNumberFormat="1" applyFont="1" applyBorder="1" applyAlignment="1" applyProtection="1">
      <alignment horizontal="center" vertical="center" wrapText="1"/>
    </xf>
    <xf fontId="30" fillId="0" borderId="20" numFmtId="2" xfId="0" applyNumberFormat="1" applyFont="1" applyBorder="1" applyAlignment="1">
      <alignment horizontal="center" vertical="center" wrapText="1"/>
    </xf>
    <xf fontId="30" fillId="0" borderId="20" numFmtId="49" xfId="0" applyNumberFormat="1" applyFont="1" applyBorder="1" applyAlignment="1">
      <alignment horizontal="center" vertical="top" wrapText="1"/>
    </xf>
    <xf fontId="29" fillId="33" borderId="0" numFmtId="4" xfId="0" applyNumberFormat="1" applyFont="1" applyFill="1" applyAlignment="1">
      <alignment horizontal="center" vertical="top" wrapText="1"/>
    </xf>
    <xf fontId="30" fillId="0" borderId="20" numFmtId="166" xfId="43" applyNumberFormat="1" applyFont="1" applyBorder="1" applyAlignment="1" applyProtection="1">
      <alignment horizontal="center" vertical="center" wrapText="1"/>
    </xf>
    <xf fontId="29" fillId="0" borderId="0" numFmtId="166" xfId="0" applyNumberFormat="1" applyFont="1" applyAlignment="1">
      <alignment horizontal="center" vertical="center" wrapText="1"/>
    </xf>
    <xf fontId="30" fillId="0" borderId="20" numFmtId="0" xfId="0" applyFont="1" applyBorder="1" applyAlignment="1">
      <alignment vertical="center" wrapText="1"/>
    </xf>
    <xf fontId="30" fillId="0" borderId="20" numFmtId="166" xfId="0" applyNumberFormat="1" applyFont="1" applyBorder="1" applyAlignment="1">
      <alignment horizontal="center" vertical="center" wrapText="1"/>
    </xf>
    <xf fontId="30" fillId="0" borderId="20" numFmtId="2" xfId="43" applyNumberFormat="1" applyFont="1" applyBorder="1" applyAlignment="1" applyProtection="1">
      <alignment horizontal="center" vertical="center" wrapText="1"/>
    </xf>
    <xf fontId="31" fillId="0" borderId="20" numFmtId="0" xfId="0" applyFont="1" applyBorder="1" applyAlignment="1">
      <alignment horizontal="center" vertical="top" wrapText="1"/>
    </xf>
    <xf fontId="28" fillId="0" borderId="20" numFmtId="49" xfId="0" applyNumberFormat="1" applyFont="1" applyBorder="1" applyAlignment="1">
      <alignment horizontal="left" vertical="center" wrapText="1"/>
    </xf>
    <xf fontId="31" fillId="0" borderId="20" numFmtId="4" xfId="0" applyNumberFormat="1" applyFont="1" applyBorder="1" applyAlignment="1">
      <alignment vertical="top" wrapText="1"/>
    </xf>
    <xf fontId="31" fillId="0" borderId="20" numFmtId="0" xfId="0" applyFont="1" applyBorder="1" applyAlignment="1">
      <alignment vertical="center" wrapText="1"/>
    </xf>
    <xf fontId="32" fillId="0" borderId="0" numFmtId="4" xfId="0" applyNumberFormat="1" applyFont="1" applyAlignment="1">
      <alignment horizontal="center" vertical="top" wrapText="1"/>
    </xf>
    <xf fontId="32" fillId="0" borderId="0" numFmtId="0" xfId="0" applyFont="1" applyAlignment="1">
      <alignment horizontal="left" vertical="top" wrapText="1"/>
    </xf>
    <xf fontId="29" fillId="0" borderId="0" numFmtId="0" xfId="0" applyFont="1" applyAlignment="1">
      <alignment horizontal="center" vertical="center" wrapText="1"/>
    </xf>
    <xf fontId="29" fillId="0" borderId="0" numFmtId="4" xfId="0" applyNumberFormat="1" applyFont="1" applyAlignment="1">
      <alignment horizontal="center" vertical="center" wrapText="1"/>
    </xf>
    <xf fontId="28" fillId="0" borderId="20" numFmtId="0" xfId="0" applyFont="1" applyBorder="1" applyAlignment="1">
      <alignment vertical="top" wrapText="1"/>
    </xf>
    <xf fontId="27" fillId="0" borderId="20" numFmtId="0" xfId="0" applyFont="1" applyBorder="1" applyAlignment="1">
      <alignment vertical="top" wrapText="1"/>
    </xf>
    <xf fontId="29" fillId="0" borderId="0" numFmtId="4" xfId="0" applyNumberFormat="1" applyFont="1" applyAlignment="1">
      <alignment horizontal="center" vertical="top" wrapText="1"/>
    </xf>
    <xf fontId="30" fillId="0" borderId="20" numFmtId="167" xfId="43" applyNumberFormat="1" applyFont="1" applyBorder="1" applyAlignment="1" applyProtection="1">
      <alignment horizontal="center" vertical="center" wrapText="1"/>
    </xf>
    <xf fontId="28" fillId="0" borderId="20" numFmtId="49" xfId="0" applyNumberFormat="1" applyFont="1" applyBorder="1" applyAlignment="1">
      <alignment horizontal="left" vertical="top" wrapText="1"/>
    </xf>
    <xf fontId="28" fillId="0" borderId="20" numFmtId="0" xfId="0" applyFont="1" applyBorder="1" applyAlignment="1">
      <alignment horizontal="left" vertical="center" wrapText="1"/>
    </xf>
    <xf fontId="33" fillId="0" borderId="0" numFmtId="4" xfId="0" applyNumberFormat="1" applyFont="1" applyAlignment="1">
      <alignment horizontal="center" vertical="top" wrapText="1"/>
    </xf>
    <xf fontId="33" fillId="0" borderId="0" numFmtId="0" xfId="0" applyFont="1" applyAlignment="1">
      <alignment horizontal="left" vertical="top" wrapText="1"/>
    </xf>
    <xf fontId="28" fillId="0" borderId="20" numFmtId="0" xfId="0" applyFont="1" applyBorder="1" applyAlignment="1">
      <alignment horizontal="center" vertical="center" wrapText="1"/>
    </xf>
    <xf fontId="33" fillId="0" borderId="0" numFmtId="4" xfId="0" applyNumberFormat="1" applyFont="1" applyAlignment="1">
      <alignment horizontal="center" vertical="center" wrapText="1"/>
    </xf>
    <xf fontId="28" fillId="0" borderId="20" numFmtId="0" xfId="0" applyFont="1" applyBorder="1" applyAlignment="1">
      <alignment horizontal="left" vertical="top" wrapText="1"/>
    </xf>
    <xf fontId="30" fillId="0" borderId="20" numFmtId="4" xfId="0" applyNumberFormat="1" applyFont="1" applyBorder="1" applyAlignment="1">
      <alignment vertical="top" wrapText="1"/>
    </xf>
    <xf fontId="26" fillId="0" borderId="20" numFmtId="0" xfId="0" applyFont="1" applyBorder="1" applyAlignment="1">
      <alignment horizontal="left" vertical="top" wrapText="1"/>
    </xf>
    <xf fontId="28" fillId="0" borderId="20" numFmtId="0" xfId="43" applyFont="1" applyBorder="1" applyAlignment="1" applyProtection="1">
      <alignment vertical="top" wrapText="1"/>
    </xf>
    <xf fontId="28" fillId="0" borderId="20" numFmtId="4" xfId="43" applyNumberFormat="1" applyFont="1" applyBorder="1" applyAlignment="1" applyProtection="1">
      <alignment horizontal="center" vertical="center" wrapText="1"/>
    </xf>
  </cellXfs>
  <cellStyles count="65">
    <cellStyle name="20% — акцент1" xfId="1" builtinId="30"/>
    <cellStyle name="20% — акцент2" xfId="2" builtinId="34"/>
    <cellStyle name="20% — акцент3" xfId="3" builtinId="38"/>
    <cellStyle name="20% — акцент4" xfId="4" builtinId="42"/>
    <cellStyle name="20% — акцент5" xfId="5" builtinId="46"/>
    <cellStyle name="20% — акцент6" xfId="6" builtinId="50"/>
    <cellStyle name="40% — акцент1" xfId="7" builtinId="31"/>
    <cellStyle name="40% — акцент2" xfId="8" builtinId="35"/>
    <cellStyle name="40% — акцент3" xfId="9" builtinId="39"/>
    <cellStyle name="40% — акцент4" xfId="10" builtinId="43"/>
    <cellStyle name="40% — акцент5" xfId="11" builtinId="47"/>
    <cellStyle name="40% — акцент6" xfId="12" builtinId="51"/>
    <cellStyle name="60% — акцент1" xfId="13" builtinId="32"/>
    <cellStyle name="60% — акцент2" xfId="14" builtinId="36"/>
    <cellStyle name="60% — акцент3" xfId="15" builtinId="40"/>
    <cellStyle name="60% — акцент4" xfId="16" builtinId="44"/>
    <cellStyle name="60% — акцент5" xfId="17" builtinId="48"/>
    <cellStyle name="60% — акцент6" xfId="18" builtinId="52"/>
    <cellStyle name="st116" xfId="19"/>
    <cellStyle name="xl112" xfId="20"/>
    <cellStyle name="xl113" xfId="21"/>
    <cellStyle name="xl114" xfId="22"/>
    <cellStyle name="xl119" xfId="23"/>
    <cellStyle name="xl120" xfId="24"/>
    <cellStyle name="xl121" xfId="25"/>
    <cellStyle name="xl126" xfId="26"/>
    <cellStyle name="xl128" xfId="27"/>
    <cellStyle name="xl33" xfId="28"/>
    <cellStyle name="xl35" xfId="29"/>
    <cellStyle name="xl48" xfId="30"/>
    <cellStyle name="xl52" xfId="31"/>
    <cellStyle name="xl63" xfId="32"/>
    <cellStyle name="Акцент1" xfId="33" builtinId="29"/>
    <cellStyle name="Акцент2" xfId="34" builtinId="33"/>
    <cellStyle name="Акцент3" xfId="35" builtinId="37"/>
    <cellStyle name="Акцент4" xfId="36" builtinId="41"/>
    <cellStyle name="Акцент5" xfId="37" builtinId="45"/>
    <cellStyle name="Акцент6" xfId="38" builtinId="49"/>
    <cellStyle name="Ввод " xfId="39" builtinId="20"/>
    <cellStyle name="Вывод" xfId="40" builtinId="21"/>
    <cellStyle name="Вычисление" xfId="41" builtinId="22"/>
    <cellStyle name="Гиперссылка" xfId="42" builtinId="8"/>
    <cellStyle name="Денежный" xfId="43" builtinId="4"/>
    <cellStyle name="Денежный [0]" xfId="44" builtinId="7"/>
    <cellStyle name="Заголовок 1" xfId="45" builtinId="16"/>
    <cellStyle name="Заголовок 2" xfId="46" builtinId="17"/>
    <cellStyle name="Заголовок 3" xfId="47" builtinId="18"/>
    <cellStyle name="Заголовок 4" xfId="48" builtinId="19"/>
    <cellStyle name="Итог" xfId="49" builtinId="25"/>
    <cellStyle name="Контрольная ячейка" xfId="50" builtinId="23"/>
    <cellStyle name="Название" xfId="51" builtinId="15"/>
    <cellStyle name="Нейтральный" xfId="52" builtinId="28"/>
    <cellStyle name="Обычный" xfId="0" builtinId="0"/>
    <cellStyle name="Обычный 2" xfId="53"/>
    <cellStyle name="Обычный 3" xfId="54"/>
    <cellStyle name="Открывавшаяся гиперссылка" xfId="55" builtinId="9"/>
    <cellStyle name="Плохой" xfId="56" builtinId="27"/>
    <cellStyle name="Пояснение" xfId="57" builtinId="53"/>
    <cellStyle name="Примечание" xfId="58" builtinId="10"/>
    <cellStyle name="Процентный" xfId="59" builtinId="5"/>
    <cellStyle name="Связанная ячейка" xfId="60" builtinId="24"/>
    <cellStyle name="Текст предупреждения" xfId="61" builtinId="11"/>
    <cellStyle name="Финансовый" xfId="62" builtinId="3"/>
    <cellStyle name="Финансовый [0]" xfId="63" builtinId="6"/>
    <cellStyle name="Хороший" xfId="64" builtinId="2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5" Type="http://schemas.openxmlformats.org/officeDocument/2006/relationships/styles" Target="styles.xml"/><Relationship  Id="rId4" Type="http://schemas.openxmlformats.org/officeDocument/2006/relationships/sharedStrings" Target="sharedStrings.xml"/><Relationship  Id="rId3" Type="http://schemas.openxmlformats.org/officeDocument/2006/relationships/theme" Target="theme/theme1.xml"/><Relationship  Id="rId2" Type="http://schemas.openxmlformats.org/officeDocument/2006/relationships/worksheet" Target="worksheets/sheet1.xml"/><Relationship  Id="rId1" Type="http://schemas.microsoft.com/office/2017/10/relationships/person" Target="persons/person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Автор" id="{64A72D98-1919-984D-93BE-0FC8022DCAE5}"/>
</personList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пј­пјі г‚ґг‚·гѓѓг‚Ї"/>
        <a:font script="Hang" typeface="л§‘мќЂ кі л”•"/>
        <a:font script="Hans" typeface="е®‹дЅ“"/>
        <a:font script="Hant" typeface="ж–°зґ°жЋй«”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пј­пјі жЋжњќ"/>
        <a:font script="Hang" typeface="л§‘мќЂ кі л”•"/>
        <a:font script="Hans" typeface="е®‹дЅ“"/>
        <a:font script="Hant" typeface="ж–°зґ°жЋй«”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Theme Office">
  <a:themeElements>
    <a:clrScheme name="Standard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Standard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Standard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E11" personId="{64A72D98-1919-984D-93BE-0FC8022DCAE5}" id="{00C40012-001B-4B8E-8074-005E00B20070}" done="0">
    <text xml:space="preserve"> КР.Б (13М)весь + М.Б весь
</text>
  </threadedComment>
  <threadedComment ref="F12" personId="{64A72D98-1919-984D-93BE-0FC8022DCAE5}" id="{00F60017-00E8-4014-B269-002D0037009C}" done="0">
    <text xml:space="preserve">Зарплата КР.Б (ст.211+ст.213)/численность детей
</text>
  </threadedComment>
  <threadedComment ref="E14" personId="{64A72D98-1919-984D-93BE-0FC8022DCAE5}" id="{00D100C5-00A2-4376-BE59-001E001800C1}" done="0">
    <text xml:space="preserve">сумма плановую выделенную по М.Б 859266,00руб + план Род.плата 20 648 427,82 руб/ 1218детей план год=17 658,21 средняя
</text>
  </threadedComment>
  <threadedComment ref="E18" personId="{64A72D98-1919-984D-93BE-0FC8022DCAE5}" id="{009300DD-00E1-4458-A23C-005F007000FF}" done="0">
    <text xml:space="preserve">сумма плановую выделенную по М.Б 859266,00руб + план Род.плата 20 648 427,82 руб/ 1218детей план год=17 658,21 средняя
</text>
  </threadedComment>
  <threadedComment ref="E22" personId="{64A72D98-1919-984D-93BE-0FC8022DCAE5}" id="{006E0024-008B-4642-BFB8-00E5006D001D}" done="0">
    <text xml:space="preserve">сумма плановую выделенную по М.Б 859266,00руб + план Род.плата 20 648 427,82 руб/ 1218детей план год=17 658,21 средняя
</text>
  </threadedComment>
  <threadedComment ref="E26" personId="{64A72D98-1919-984D-93BE-0FC8022DCAE5}" id="{000800E1-005F-441F-80A9-00E400D20004}" done="0">
    <text xml:space="preserve">сумма плановую выделенную по М.Б 859266,00руб + план Род.плата 20 648 427,82 руб/ 1218детей план год=17 658,21 средняя
</text>
  </threadedComment>
  <threadedComment ref="E30" personId="{64A72D98-1919-984D-93BE-0FC8022DCAE5}" id="{00FB0062-006E-42C0-8B9F-005800780042}" done="0">
    <text xml:space="preserve">сумма плановую выделенную по М.Б 859266,00руб + план Род.плата 20 648 427,82 руб/ 1218детей план год=17 658,21 средняя
</text>
  </threadedComment>
  <threadedComment ref="E34" personId="{64A72D98-1919-984D-93BE-0FC8022DCAE5}" id="{00550077-009D-4357-8860-008000C80088}" done="0">
    <text xml:space="preserve">сумма плановую выделенную по М.Б 859266,00руб + план Род.плата 20 648 427,82 руб/ 1218детей план год=17 658,21 средняя
</text>
  </threadedComment>
</ThreadedComments>
</file>

<file path=xl/worksheets/_rels/sheet1.xml.rels><?xml version="1.0" encoding="UTF-8" standalone="yes"?><Relationships xmlns="http://schemas.openxmlformats.org/package/2006/relationships"><Relationship  Id="rId3" Type="http://schemas.openxmlformats.org/officeDocument/2006/relationships/vmlDrawing" Target="../drawings/vmlDrawing1.vml"/><Relationship  Id="rId2" Type="http://schemas.openxmlformats.org/officeDocument/2006/relationships/comments" Target="../comments1.xml"/><Relationship  Id="rId1" Type="http://schemas.microsoft.com/office/2017/10/relationships/threadedComment" Target="../threadedComments/threadedComment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 published="0">
    <tabColor indexed="2"/>
    <outlinePr applyStyles="0" summaryBelow="1" summaryRight="1" showOutlineSymbols="1"/>
    <pageSetUpPr autoPageBreaks="1" fitToPage="1"/>
  </sheetPr>
  <sheetViews>
    <sheetView zoomScale="80" workbookViewId="0">
      <selection activeCell="G21" activeCellId="0" sqref="G21"/>
    </sheetView>
  </sheetViews>
  <sheetFormatPr baseColWidth="8" defaultColWidth="20.140599999999999" defaultRowHeight="15" customHeight="1"/>
  <cols>
    <col customWidth="1" min="1" max="1" style="1" width="5.1406200000000002"/>
    <col customWidth="1" min="2" max="2" style="1" width="6.2851600000000003"/>
    <col customWidth="1" min="3" max="3" style="1" width="32"/>
    <col customWidth="1" min="4" max="4" style="1" width="28.140599999999999"/>
    <col customWidth="1" min="5" max="5" style="1" width="25.2852"/>
    <col customWidth="1" min="6" max="6" style="1" width="24.140599999999999"/>
    <col customWidth="1" min="7" max="7" style="1" width="41.570300000000003"/>
    <col customWidth="1" min="8" max="8" style="1" width="12.425800000000001"/>
    <col customWidth="1" min="9" max="9" style="1" width="11.140599999999999"/>
    <col customWidth="1" min="10" max="10" style="1" width="11.2852"/>
    <col customWidth="1" min="11" max="11" style="1" width="16.5703"/>
    <col customWidth="1" min="12" max="12" style="1" width="18.710899999999999"/>
    <col customWidth="1" min="13" max="13" style="1" width="8.4257799999999996"/>
    <col customWidth="1" min="14" max="257" style="1" width="20.140599999999999"/>
  </cols>
  <sheetData>
    <row r="1" ht="12" customHeight="1">
      <c r="B1" s="2"/>
      <c r="C1" s="2"/>
      <c r="D1" s="2"/>
      <c r="E1" s="2"/>
      <c r="F1" s="2"/>
      <c r="G1" s="2"/>
      <c r="H1" s="2"/>
      <c r="I1" s="2"/>
      <c r="J1" s="2"/>
    </row>
    <row r="2" ht="43.5" customHeight="1">
      <c r="B2" s="2"/>
      <c r="C2" s="2"/>
      <c r="D2" s="2"/>
      <c r="E2" s="2"/>
      <c r="F2" s="3" t="s">
        <v>0</v>
      </c>
      <c r="G2" s="3"/>
      <c r="H2" s="3"/>
      <c r="I2" s="3"/>
      <c r="J2" s="3"/>
    </row>
    <row r="3" ht="123.75" customHeight="1">
      <c r="B3" s="2"/>
      <c r="C3" s="2"/>
      <c r="D3" s="2"/>
      <c r="E3" s="2"/>
      <c r="F3" s="4"/>
      <c r="G3" s="3" t="s">
        <v>1</v>
      </c>
      <c r="H3" s="3"/>
      <c r="I3" s="3"/>
      <c r="J3" s="3"/>
    </row>
    <row r="4" s="5" customFormat="1">
      <c r="B4" s="6"/>
      <c r="C4" s="6"/>
      <c r="D4" s="6"/>
      <c r="E4" s="6"/>
      <c r="F4" s="6"/>
      <c r="G4" s="6"/>
    </row>
    <row r="5" s="5" customFormat="1" ht="10.5" customHeight="1"/>
    <row r="6" s="5" customFormat="1" ht="65.25" customHeight="1">
      <c r="A6" s="3" t="s">
        <v>2</v>
      </c>
      <c r="B6" s="3"/>
      <c r="C6" s="3"/>
      <c r="D6" s="3"/>
      <c r="E6" s="3"/>
      <c r="F6" s="3"/>
      <c r="G6" s="3"/>
      <c r="H6" s="3"/>
      <c r="I6" s="3"/>
      <c r="J6" s="3"/>
    </row>
    <row r="7" s="5" customFormat="1" ht="10.5" customHeight="1">
      <c r="D7" s="7"/>
      <c r="E7" s="8"/>
      <c r="F7" s="8"/>
      <c r="G7" s="8"/>
      <c r="H7" s="8"/>
      <c r="I7" s="8"/>
      <c r="J7" s="9"/>
    </row>
    <row r="8" s="2" customFormat="1" ht="43.5" customHeight="1">
      <c r="A8" s="10" t="s">
        <v>3</v>
      </c>
      <c r="B8" s="10" t="s">
        <v>4</v>
      </c>
      <c r="C8" s="11" t="s">
        <v>5</v>
      </c>
      <c r="D8" s="10" t="s">
        <v>6</v>
      </c>
      <c r="E8" s="11" t="s">
        <v>7</v>
      </c>
      <c r="F8" s="12" t="s">
        <v>8</v>
      </c>
      <c r="G8" s="12"/>
      <c r="H8" s="13"/>
      <c r="I8" s="13"/>
      <c r="J8" s="13"/>
    </row>
    <row r="9" s="2" customFormat="1" ht="167.25" customHeight="1">
      <c r="A9" s="10"/>
      <c r="B9" s="10"/>
      <c r="C9" s="11"/>
      <c r="D9" s="10"/>
      <c r="E9" s="11"/>
      <c r="F9" s="12" t="s">
        <v>9</v>
      </c>
      <c r="G9" s="12" t="s">
        <v>10</v>
      </c>
      <c r="H9" s="11" t="s">
        <v>11</v>
      </c>
      <c r="I9" s="11" t="s">
        <v>12</v>
      </c>
      <c r="J9" s="11" t="s">
        <v>13</v>
      </c>
    </row>
    <row r="10" s="14" customFormat="1" ht="17.25">
      <c r="A10" s="12">
        <v>1</v>
      </c>
      <c r="B10" s="12">
        <v>2</v>
      </c>
      <c r="C10" s="12">
        <v>3</v>
      </c>
      <c r="D10" s="12">
        <v>4</v>
      </c>
      <c r="E10" s="12"/>
      <c r="F10" s="12">
        <v>5</v>
      </c>
      <c r="G10" s="12">
        <v>6</v>
      </c>
      <c r="H10" s="12">
        <v>9</v>
      </c>
      <c r="I10" s="12">
        <v>10</v>
      </c>
      <c r="J10" s="12">
        <v>11</v>
      </c>
    </row>
    <row r="11" s="14" customFormat="1" ht="53.25" customHeight="1">
      <c r="A11" s="12" t="s">
        <v>14</v>
      </c>
      <c r="B11" s="15" t="s">
        <v>15</v>
      </c>
      <c r="C11" s="16" t="s">
        <v>16</v>
      </c>
      <c r="D11" s="12"/>
      <c r="E11" s="17">
        <v>13756663.32</v>
      </c>
      <c r="F11" s="12" t="s">
        <v>17</v>
      </c>
      <c r="G11" s="12" t="s">
        <v>17</v>
      </c>
      <c r="H11" s="11" t="s">
        <v>17</v>
      </c>
      <c r="I11" s="11" t="s">
        <v>17</v>
      </c>
      <c r="J11" s="11" t="s">
        <v>17</v>
      </c>
      <c r="K11" s="18">
        <f>E12*H12+E14*H14</f>
        <v>13756663.320079999</v>
      </c>
    </row>
    <row r="12" s="19" customFormat="1" ht="73.5" customHeight="1">
      <c r="A12" s="20"/>
      <c r="B12" s="20"/>
      <c r="C12" s="21" t="s">
        <v>18</v>
      </c>
      <c r="D12" s="22" t="s">
        <v>19</v>
      </c>
      <c r="E12" s="23">
        <v>297020.61348</v>
      </c>
      <c r="F12" s="24">
        <f>6949111.0099999998/J12</f>
        <v>151067.63065217392</v>
      </c>
      <c r="G12" s="25">
        <f>(1407964.48)/J12</f>
        <v>30607.923478260869</v>
      </c>
      <c r="H12" s="26">
        <v>46</v>
      </c>
      <c r="I12" s="26">
        <v>46</v>
      </c>
      <c r="J12" s="26">
        <v>46</v>
      </c>
      <c r="K12" s="27">
        <f>(E11-E14*H14)/H12</f>
        <v>297020.61347826087</v>
      </c>
    </row>
    <row r="13" s="19" customFormat="1" ht="39.75" customHeight="1">
      <c r="A13" s="20"/>
      <c r="B13" s="20"/>
      <c r="C13" s="21" t="s">
        <v>20</v>
      </c>
      <c r="D13" s="20" t="s">
        <v>21</v>
      </c>
      <c r="E13" s="28">
        <v>0</v>
      </c>
      <c r="F13" s="29">
        <v>0</v>
      </c>
      <c r="G13" s="29">
        <v>0</v>
      </c>
      <c r="H13" s="26"/>
      <c r="I13" s="26"/>
      <c r="J13" s="26"/>
    </row>
    <row r="14" s="19" customFormat="1" ht="49.5" customHeight="1">
      <c r="A14" s="20"/>
      <c r="B14" s="20"/>
      <c r="C14" s="21" t="s">
        <v>22</v>
      </c>
      <c r="D14" s="22" t="s">
        <v>23</v>
      </c>
      <c r="E14" s="28">
        <v>18743.02</v>
      </c>
      <c r="F14" s="24">
        <v>0</v>
      </c>
      <c r="G14" s="24">
        <v>0</v>
      </c>
      <c r="H14" s="26">
        <v>5</v>
      </c>
      <c r="I14" s="26">
        <v>5</v>
      </c>
      <c r="J14" s="26">
        <v>5</v>
      </c>
    </row>
    <row r="15" s="19" customFormat="1" ht="59.25" customHeight="1">
      <c r="A15" s="20">
        <v>2</v>
      </c>
      <c r="B15" s="30" t="s">
        <v>15</v>
      </c>
      <c r="C15" s="16" t="s">
        <v>24</v>
      </c>
      <c r="D15" s="20"/>
      <c r="E15" s="17">
        <v>22440054.289999999</v>
      </c>
      <c r="F15" s="26" t="s">
        <v>17</v>
      </c>
      <c r="G15" s="26" t="s">
        <v>17</v>
      </c>
      <c r="H15" s="26" t="s">
        <v>17</v>
      </c>
      <c r="I15" s="26" t="s">
        <v>17</v>
      </c>
      <c r="J15" s="26" t="s">
        <v>17</v>
      </c>
      <c r="K15" s="31">
        <f>E16*H16+E18*H18</f>
        <v>22440054.290399998</v>
      </c>
    </row>
    <row r="16" s="19" customFormat="1" ht="69">
      <c r="A16" s="20"/>
      <c r="B16" s="20"/>
      <c r="C16" s="21" t="s">
        <v>18</v>
      </c>
      <c r="D16" s="22" t="s">
        <v>19</v>
      </c>
      <c r="E16" s="32">
        <v>231993.4074</v>
      </c>
      <c r="F16" s="24">
        <f>11167657.24/J16</f>
        <v>116329.76291666667</v>
      </c>
      <c r="G16" s="25">
        <f>(1842457.95)/J16</f>
        <v>19192.270312500001</v>
      </c>
      <c r="H16" s="26">
        <v>96</v>
      </c>
      <c r="I16" s="26">
        <f>H16</f>
        <v>96</v>
      </c>
      <c r="J16" s="26">
        <f>I16</f>
        <v>96</v>
      </c>
      <c r="K16" s="33">
        <f>(E15-E18*H18)/H16</f>
        <v>231993.40739583332</v>
      </c>
    </row>
    <row r="17" s="19" customFormat="1" ht="34.5">
      <c r="A17" s="20"/>
      <c r="B17" s="20"/>
      <c r="C17" s="21" t="s">
        <v>22</v>
      </c>
      <c r="D17" s="20" t="s">
        <v>21</v>
      </c>
      <c r="E17" s="28">
        <v>0</v>
      </c>
      <c r="F17" s="29">
        <v>0</v>
      </c>
      <c r="G17" s="29">
        <v>0</v>
      </c>
      <c r="H17" s="34"/>
      <c r="I17" s="34"/>
      <c r="J17" s="34"/>
    </row>
    <row r="18" s="19" customFormat="1" ht="50.25" customHeight="1">
      <c r="A18" s="20"/>
      <c r="B18" s="20"/>
      <c r="C18" s="21" t="s">
        <v>20</v>
      </c>
      <c r="D18" s="22" t="s">
        <v>23</v>
      </c>
      <c r="E18" s="28">
        <v>18743.02</v>
      </c>
      <c r="F18" s="24">
        <v>0</v>
      </c>
      <c r="G18" s="24">
        <v>0</v>
      </c>
      <c r="H18" s="26">
        <v>9</v>
      </c>
      <c r="I18" s="26">
        <v>9</v>
      </c>
      <c r="J18" s="26">
        <v>9</v>
      </c>
    </row>
    <row r="19" s="19" customFormat="1" ht="46.5" customHeight="1">
      <c r="A19" s="20">
        <v>3</v>
      </c>
      <c r="B19" s="30" t="s">
        <v>15</v>
      </c>
      <c r="C19" s="16" t="s">
        <v>25</v>
      </c>
      <c r="D19" s="20"/>
      <c r="E19" s="17">
        <v>46329792.390000001</v>
      </c>
      <c r="F19" s="26" t="s">
        <v>17</v>
      </c>
      <c r="G19" s="26" t="s">
        <v>17</v>
      </c>
      <c r="H19" s="26" t="s">
        <v>17</v>
      </c>
      <c r="I19" s="26" t="s">
        <v>17</v>
      </c>
      <c r="J19" s="26" t="s">
        <v>17</v>
      </c>
      <c r="K19" s="31">
        <f>E20*H20+E22*H22</f>
        <v>46329792.390239999</v>
      </c>
    </row>
    <row r="20" s="19" customFormat="1" ht="69">
      <c r="A20" s="20"/>
      <c r="B20" s="30"/>
      <c r="C20" s="21" t="s">
        <v>18</v>
      </c>
      <c r="D20" s="22" t="s">
        <v>19</v>
      </c>
      <c r="E20" s="32">
        <v>220937.17303000001</v>
      </c>
      <c r="F20" s="24">
        <f>26902556.859999999/J20</f>
        <v>129339.21567307692</v>
      </c>
      <c r="G20" s="35">
        <f>(6290074.6100000003)/J20</f>
        <v>30240.743317307693</v>
      </c>
      <c r="H20" s="26">
        <v>208</v>
      </c>
      <c r="I20" s="26">
        <f>H20</f>
        <v>208</v>
      </c>
      <c r="J20" s="26">
        <f>I20</f>
        <v>208</v>
      </c>
      <c r="K20" s="33">
        <f>(E19-E22*H22)/H20</f>
        <v>220937.17302884615</v>
      </c>
    </row>
    <row r="21" s="19" customFormat="1" ht="34.5">
      <c r="A21" s="20"/>
      <c r="B21" s="30"/>
      <c r="C21" s="21" t="s">
        <v>22</v>
      </c>
      <c r="D21" s="20" t="s">
        <v>21</v>
      </c>
      <c r="E21" s="36">
        <v>0</v>
      </c>
      <c r="F21" s="29">
        <v>0</v>
      </c>
      <c r="G21" s="29">
        <v>0</v>
      </c>
      <c r="H21" s="34"/>
      <c r="I21" s="34"/>
      <c r="J21" s="34"/>
    </row>
    <row r="22" s="19" customFormat="1" ht="22.5" customHeight="1">
      <c r="A22" s="20"/>
      <c r="B22" s="30"/>
      <c r="C22" s="21" t="s">
        <v>20</v>
      </c>
      <c r="D22" s="22" t="s">
        <v>23</v>
      </c>
      <c r="E22" s="28">
        <v>18743.02</v>
      </c>
      <c r="F22" s="24">
        <v>0</v>
      </c>
      <c r="G22" s="24">
        <v>0</v>
      </c>
      <c r="H22" s="26">
        <v>20</v>
      </c>
      <c r="I22" s="26">
        <v>20</v>
      </c>
      <c r="J22" s="26">
        <v>20</v>
      </c>
    </row>
    <row r="23" s="19" customFormat="1" ht="47.25" customHeight="1">
      <c r="A23" s="20">
        <v>4</v>
      </c>
      <c r="B23" s="30" t="s">
        <v>15</v>
      </c>
      <c r="C23" s="16" t="s">
        <v>26</v>
      </c>
      <c r="D23" s="20"/>
      <c r="E23" s="17">
        <f>53944368.659999996+9007978.75</f>
        <v>62952347.409999996</v>
      </c>
      <c r="F23" s="26" t="s">
        <v>17</v>
      </c>
      <c r="G23" s="26" t="s">
        <v>17</v>
      </c>
      <c r="H23" s="26" t="s">
        <v>17</v>
      </c>
      <c r="I23" s="26" t="s">
        <v>17</v>
      </c>
      <c r="J23" s="26" t="s">
        <v>17</v>
      </c>
      <c r="K23" s="31">
        <f>E24*H24+E26*H26</f>
        <v>62952347.40992</v>
      </c>
    </row>
    <row r="24" s="19" customFormat="1" ht="69">
      <c r="A24" s="20"/>
      <c r="B24" s="30"/>
      <c r="C24" s="21" t="s">
        <v>18</v>
      </c>
      <c r="D24" s="22" t="s">
        <v>19</v>
      </c>
      <c r="E24" s="32">
        <v>269326.60305999999</v>
      </c>
      <c r="F24" s="24">
        <f>26870041.82/J24</f>
        <v>115819.14577586207</v>
      </c>
      <c r="G24" s="25">
        <f>(7714301.5099999998)/J24</f>
        <v>33251.299612068964</v>
      </c>
      <c r="H24" s="26">
        <v>232</v>
      </c>
      <c r="I24" s="26">
        <f>H24</f>
        <v>232</v>
      </c>
      <c r="J24" s="26">
        <f>I24</f>
        <v>232</v>
      </c>
      <c r="K24" s="33">
        <f>(E23-E26*H26)/H24</f>
        <v>269326.60306034482</v>
      </c>
    </row>
    <row r="25" s="19" customFormat="1" ht="34.5">
      <c r="A25" s="20"/>
      <c r="B25" s="30"/>
      <c r="C25" s="21" t="s">
        <v>22</v>
      </c>
      <c r="D25" s="20" t="s">
        <v>21</v>
      </c>
      <c r="E25" s="28">
        <v>0</v>
      </c>
      <c r="F25" s="24">
        <v>0</v>
      </c>
      <c r="G25" s="24">
        <v>0</v>
      </c>
      <c r="H25" s="34"/>
      <c r="I25" s="34"/>
      <c r="J25" s="34"/>
    </row>
    <row r="26" s="19" customFormat="1" ht="54.75" customHeight="1">
      <c r="A26" s="20"/>
      <c r="B26" s="30"/>
      <c r="C26" s="21" t="s">
        <v>20</v>
      </c>
      <c r="D26" s="22" t="s">
        <v>23</v>
      </c>
      <c r="E26" s="28">
        <v>18743.02</v>
      </c>
      <c r="F26" s="24">
        <v>0</v>
      </c>
      <c r="G26" s="24">
        <v>0</v>
      </c>
      <c r="H26" s="26">
        <v>25</v>
      </c>
      <c r="I26" s="26">
        <v>25</v>
      </c>
      <c r="J26" s="26">
        <v>25</v>
      </c>
    </row>
    <row r="27" s="19" customFormat="1" ht="42.75" customHeight="1">
      <c r="A27" s="20">
        <v>5</v>
      </c>
      <c r="B27" s="30" t="s">
        <v>15</v>
      </c>
      <c r="C27" s="16" t="s">
        <v>27</v>
      </c>
      <c r="D27" s="20"/>
      <c r="E27" s="17">
        <v>46526736.390000001</v>
      </c>
      <c r="F27" s="26" t="s">
        <v>17</v>
      </c>
      <c r="G27" s="26" t="s">
        <v>17</v>
      </c>
      <c r="H27" s="26" t="s">
        <v>17</v>
      </c>
      <c r="I27" s="26" t="s">
        <v>17</v>
      </c>
      <c r="J27" s="26" t="s">
        <v>17</v>
      </c>
      <c r="K27" s="31">
        <f>E28*H28+E30*H30</f>
        <v>46526736.38944</v>
      </c>
    </row>
    <row r="28" s="19" customFormat="1" ht="69">
      <c r="A28" s="20"/>
      <c r="B28" s="30"/>
      <c r="C28" s="21" t="s">
        <v>18</v>
      </c>
      <c r="D28" s="22" t="s">
        <v>19</v>
      </c>
      <c r="E28" s="32">
        <v>180134.33574000001</v>
      </c>
      <c r="F28" s="24">
        <f>30581330.379999999/J28</f>
        <v>119458.321796875</v>
      </c>
      <c r="G28" s="35">
        <f>(5162149.3899999997)/J28</f>
        <v>20164.646054687499</v>
      </c>
      <c r="H28" s="26">
        <v>256</v>
      </c>
      <c r="I28" s="26">
        <f>H28</f>
        <v>256</v>
      </c>
      <c r="J28" s="26">
        <f>I28</f>
        <v>256</v>
      </c>
      <c r="K28" s="33">
        <f>(E27-E30*H30)/H28</f>
        <v>180134.33574218751</v>
      </c>
    </row>
    <row r="29" s="19" customFormat="1" ht="34.5">
      <c r="A29" s="20"/>
      <c r="B29" s="30"/>
      <c r="C29" s="21" t="s">
        <v>22</v>
      </c>
      <c r="D29" s="20" t="s">
        <v>21</v>
      </c>
      <c r="E29" s="28">
        <v>0</v>
      </c>
      <c r="F29" s="24">
        <v>0</v>
      </c>
      <c r="G29" s="24">
        <v>0</v>
      </c>
      <c r="H29" s="34"/>
      <c r="I29" s="34"/>
      <c r="J29" s="34"/>
    </row>
    <row r="30" s="19" customFormat="1" ht="38.25" customHeight="1">
      <c r="A30" s="20"/>
      <c r="B30" s="30"/>
      <c r="C30" s="21" t="s">
        <v>20</v>
      </c>
      <c r="D30" s="22" t="s">
        <v>23</v>
      </c>
      <c r="E30" s="28">
        <v>18743.02</v>
      </c>
      <c r="F30" s="24">
        <v>0</v>
      </c>
      <c r="G30" s="24">
        <v>0</v>
      </c>
      <c r="H30" s="26">
        <v>22</v>
      </c>
      <c r="I30" s="26">
        <v>22</v>
      </c>
      <c r="J30" s="26">
        <v>22</v>
      </c>
    </row>
    <row r="31" s="19" customFormat="1" ht="56.25" customHeight="1">
      <c r="A31" s="20">
        <v>6</v>
      </c>
      <c r="B31" s="30" t="s">
        <v>15</v>
      </c>
      <c r="C31" s="16" t="s">
        <v>28</v>
      </c>
      <c r="D31" s="20"/>
      <c r="E31" s="17">
        <v>24736807.199999999</v>
      </c>
      <c r="F31" s="26" t="s">
        <v>17</v>
      </c>
      <c r="G31" s="26" t="s">
        <v>17</v>
      </c>
      <c r="H31" s="26" t="s">
        <v>17</v>
      </c>
      <c r="I31" s="26" t="s">
        <v>17</v>
      </c>
      <c r="J31" s="26" t="s">
        <v>17</v>
      </c>
      <c r="K31" s="31">
        <f>E32*H32+E34*H34</f>
        <v>24736807.200430002</v>
      </c>
    </row>
    <row r="32" s="19" customFormat="1" ht="69">
      <c r="A32" s="20"/>
      <c r="B32" s="30"/>
      <c r="C32" s="21" t="s">
        <v>18</v>
      </c>
      <c r="D32" s="22" t="s">
        <v>19</v>
      </c>
      <c r="E32" s="32">
        <v>191531.18708999999</v>
      </c>
      <c r="F32" s="24">
        <f>14923215.6/J32</f>
        <v>117505.63464566928</v>
      </c>
      <c r="G32" s="25">
        <f>(2376375.1600000001)/J32</f>
        <v>18711.615433070867</v>
      </c>
      <c r="H32" s="26">
        <v>127</v>
      </c>
      <c r="I32" s="26">
        <f>H32</f>
        <v>127</v>
      </c>
      <c r="J32" s="26">
        <f>I32</f>
        <v>127</v>
      </c>
      <c r="K32" s="33">
        <f>(E31-E34*H34)/H32</f>
        <v>191531.18708661417</v>
      </c>
    </row>
    <row r="33" s="19" customFormat="1" ht="34.5">
      <c r="A33" s="20"/>
      <c r="B33" s="30"/>
      <c r="C33" s="21" t="s">
        <v>22</v>
      </c>
      <c r="D33" s="20" t="s">
        <v>21</v>
      </c>
      <c r="E33" s="28">
        <v>0</v>
      </c>
      <c r="F33" s="24">
        <v>0</v>
      </c>
      <c r="G33" s="24">
        <v>0</v>
      </c>
      <c r="H33" s="34"/>
      <c r="I33" s="34"/>
      <c r="J33" s="34"/>
    </row>
    <row r="34" s="19" customFormat="1" ht="38.25" customHeight="1">
      <c r="A34" s="20"/>
      <c r="B34" s="30"/>
      <c r="C34" s="21" t="s">
        <v>20</v>
      </c>
      <c r="D34" s="22" t="s">
        <v>23</v>
      </c>
      <c r="E34" s="28">
        <v>18743.02</v>
      </c>
      <c r="F34" s="24">
        <v>0</v>
      </c>
      <c r="G34" s="24">
        <v>0</v>
      </c>
      <c r="H34" s="26">
        <v>22</v>
      </c>
      <c r="I34" s="26">
        <v>22</v>
      </c>
      <c r="J34" s="26">
        <v>22</v>
      </c>
    </row>
    <row r="35" s="19" customFormat="1" ht="28.5" customHeight="1">
      <c r="A35" s="37"/>
      <c r="B35" s="30" t="s">
        <v>15</v>
      </c>
      <c r="C35" s="38" t="s">
        <v>29</v>
      </c>
      <c r="D35" s="38"/>
      <c r="E35" s="17">
        <f>E11+E15+E19+E23+E27+E31</f>
        <v>216742401</v>
      </c>
      <c r="F35" s="39"/>
      <c r="G35" s="39"/>
      <c r="H35" s="26">
        <f>H12+H14+H16+H18+H20+H22+H24+H26+H28+H30+H32+H34</f>
        <v>1068</v>
      </c>
      <c r="I35" s="40"/>
      <c r="J35" s="40"/>
      <c r="K35" s="41"/>
      <c r="L35" s="42"/>
      <c r="M35" s="43"/>
      <c r="N35" s="44"/>
    </row>
    <row r="36" s="19" customFormat="1" ht="22.5" customHeight="1">
      <c r="A36" s="20">
        <v>7</v>
      </c>
      <c r="B36" s="30" t="s">
        <v>30</v>
      </c>
      <c r="C36" s="45" t="s">
        <v>31</v>
      </c>
      <c r="D36" s="20"/>
      <c r="E36" s="17">
        <v>81414638.060000002</v>
      </c>
      <c r="F36" s="20" t="s">
        <v>17</v>
      </c>
      <c r="G36" s="20" t="s">
        <v>17</v>
      </c>
      <c r="H36" s="26" t="s">
        <v>17</v>
      </c>
      <c r="I36" s="26" t="s">
        <v>17</v>
      </c>
      <c r="J36" s="26" t="s">
        <v>17</v>
      </c>
      <c r="K36" s="31">
        <f>(E37*H37)+(E38*H38)+E39*H39</f>
        <v>81414638.060000002</v>
      </c>
    </row>
    <row r="37" s="19" customFormat="1" ht="69">
      <c r="A37" s="20"/>
      <c r="B37" s="30"/>
      <c r="C37" s="21" t="s">
        <v>32</v>
      </c>
      <c r="D37" s="20" t="s">
        <v>33</v>
      </c>
      <c r="E37" s="32">
        <f>K37</f>
        <v>81333.304755244753</v>
      </c>
      <c r="F37" s="35">
        <f t="shared" ref="F37:F39" si="0">60111360.359999999/1001</f>
        <v>60051.30905094905</v>
      </c>
      <c r="G37" s="25">
        <f t="shared" ref="G37:G39" si="1">(10619898.310000001)/1001</f>
        <v>10609.289020979022</v>
      </c>
      <c r="H37" s="26">
        <v>424</v>
      </c>
      <c r="I37" s="26">
        <v>424</v>
      </c>
      <c r="J37" s="26">
        <v>424</v>
      </c>
      <c r="K37" s="33">
        <f>E36/(H37+H38+H39)</f>
        <v>81333.304755244753</v>
      </c>
    </row>
    <row r="38" s="19" customFormat="1" ht="69">
      <c r="A38" s="20"/>
      <c r="B38" s="30"/>
      <c r="C38" s="21" t="s">
        <v>34</v>
      </c>
      <c r="D38" s="20" t="s">
        <v>35</v>
      </c>
      <c r="E38" s="32">
        <f>K37</f>
        <v>81333.304755244753</v>
      </c>
      <c r="F38" s="35">
        <f t="shared" si="0"/>
        <v>60051.30905094905</v>
      </c>
      <c r="G38" s="25">
        <f t="shared" si="1"/>
        <v>10609.289020979022</v>
      </c>
      <c r="H38" s="26">
        <v>488</v>
      </c>
      <c r="I38" s="26">
        <f t="shared" ref="I38:I75" si="2">H38</f>
        <v>488</v>
      </c>
      <c r="J38" s="26">
        <f t="shared" ref="J38:J75" si="3">I38</f>
        <v>488</v>
      </c>
    </row>
    <row r="39" s="19" customFormat="1" ht="69">
      <c r="A39" s="20"/>
      <c r="B39" s="30"/>
      <c r="C39" s="21" t="s">
        <v>36</v>
      </c>
      <c r="D39" s="20" t="s">
        <v>37</v>
      </c>
      <c r="E39" s="32">
        <f>K37</f>
        <v>81333.304755244753</v>
      </c>
      <c r="F39" s="35">
        <f t="shared" si="0"/>
        <v>60051.30905094905</v>
      </c>
      <c r="G39" s="25">
        <f t="shared" si="1"/>
        <v>10609.289020979022</v>
      </c>
      <c r="H39" s="26">
        <v>89</v>
      </c>
      <c r="I39" s="26">
        <f t="shared" si="2"/>
        <v>89</v>
      </c>
      <c r="J39" s="26">
        <f t="shared" si="3"/>
        <v>89</v>
      </c>
    </row>
    <row r="40" s="19" customFormat="1" ht="17.25">
      <c r="A40" s="20">
        <v>8</v>
      </c>
      <c r="B40" s="30" t="s">
        <v>30</v>
      </c>
      <c r="C40" s="45" t="s">
        <v>38</v>
      </c>
      <c r="D40" s="20"/>
      <c r="E40" s="17">
        <f>72388294</f>
        <v>72388294</v>
      </c>
      <c r="F40" s="26" t="s">
        <v>17</v>
      </c>
      <c r="G40" s="26" t="s">
        <v>17</v>
      </c>
      <c r="H40" s="26" t="s">
        <v>17</v>
      </c>
      <c r="I40" s="26" t="s">
        <v>17</v>
      </c>
      <c r="J40" s="26" t="s">
        <v>17</v>
      </c>
      <c r="K40" s="31">
        <f>(E41*H41)+(E42*H42)+(E44*H44)</f>
        <v>72388294</v>
      </c>
    </row>
    <row r="41" s="19" customFormat="1" ht="69">
      <c r="A41" s="20"/>
      <c r="B41" s="30"/>
      <c r="C41" s="21" t="s">
        <v>32</v>
      </c>
      <c r="D41" s="20" t="s">
        <v>33</v>
      </c>
      <c r="E41" s="32">
        <f>K41</f>
        <v>75958.335781741873</v>
      </c>
      <c r="F41" s="35">
        <f t="shared" ref="F41:F44" si="4">54255771.950000003/953</f>
        <v>56931.555036726131</v>
      </c>
      <c r="G41" s="35">
        <f t="shared" ref="G41:G44" si="5">(9213873.3100000005)/953</f>
        <v>9668.2825918153212</v>
      </c>
      <c r="H41" s="26">
        <v>379</v>
      </c>
      <c r="I41" s="26">
        <f t="shared" si="2"/>
        <v>379</v>
      </c>
      <c r="J41" s="26">
        <f t="shared" si="3"/>
        <v>379</v>
      </c>
      <c r="K41" s="33">
        <f>E40/(H41+H42+H43+H44)</f>
        <v>75958.335781741873</v>
      </c>
    </row>
    <row r="42" s="19" customFormat="1" ht="69">
      <c r="A42" s="20"/>
      <c r="B42" s="30"/>
      <c r="C42" s="21" t="s">
        <v>34</v>
      </c>
      <c r="D42" s="20" t="s">
        <v>35</v>
      </c>
      <c r="E42" s="32">
        <f>K41</f>
        <v>75958.335781741873</v>
      </c>
      <c r="F42" s="35">
        <f t="shared" si="4"/>
        <v>56931.555036726131</v>
      </c>
      <c r="G42" s="35">
        <f t="shared" si="5"/>
        <v>9668.2825918153212</v>
      </c>
      <c r="H42" s="26">
        <v>486</v>
      </c>
      <c r="I42" s="26">
        <f t="shared" si="2"/>
        <v>486</v>
      </c>
      <c r="J42" s="26">
        <f t="shared" si="3"/>
        <v>486</v>
      </c>
    </row>
    <row r="43" s="19" customFormat="1" ht="77.25" customHeight="1">
      <c r="A43" s="20"/>
      <c r="B43" s="30"/>
      <c r="C43" s="21" t="s">
        <v>39</v>
      </c>
      <c r="D43" s="20" t="s">
        <v>40</v>
      </c>
      <c r="E43" s="32">
        <f>K41</f>
        <v>75958.335781741873</v>
      </c>
      <c r="F43" s="35">
        <f t="shared" si="4"/>
        <v>56931.555036726131</v>
      </c>
      <c r="G43" s="35">
        <f t="shared" si="5"/>
        <v>9668.2825918153212</v>
      </c>
      <c r="H43" s="26">
        <v>0</v>
      </c>
      <c r="I43" s="26">
        <v>0</v>
      </c>
      <c r="J43" s="26">
        <v>0</v>
      </c>
    </row>
    <row r="44" s="19" customFormat="1" ht="69">
      <c r="A44" s="20"/>
      <c r="B44" s="30"/>
      <c r="C44" s="21" t="s">
        <v>41</v>
      </c>
      <c r="D44" s="20" t="s">
        <v>37</v>
      </c>
      <c r="E44" s="32">
        <f>K41</f>
        <v>75958.335781741873</v>
      </c>
      <c r="F44" s="35">
        <f t="shared" si="4"/>
        <v>56931.555036726131</v>
      </c>
      <c r="G44" s="35">
        <f t="shared" si="5"/>
        <v>9668.2825918153212</v>
      </c>
      <c r="H44" s="26">
        <v>88</v>
      </c>
      <c r="I44" s="26">
        <f t="shared" si="2"/>
        <v>88</v>
      </c>
      <c r="J44" s="26">
        <f t="shared" si="3"/>
        <v>88</v>
      </c>
    </row>
    <row r="45" s="19" customFormat="1" ht="17.25">
      <c r="A45" s="20">
        <v>9</v>
      </c>
      <c r="B45" s="30" t="s">
        <v>30</v>
      </c>
      <c r="C45" s="46" t="s">
        <v>42</v>
      </c>
      <c r="D45" s="20"/>
      <c r="E45" s="17">
        <f>53922308.5</f>
        <v>53922308.5</v>
      </c>
      <c r="F45" s="26" t="s">
        <v>17</v>
      </c>
      <c r="G45" s="26" t="s">
        <v>17</v>
      </c>
      <c r="H45" s="26" t="s">
        <v>17</v>
      </c>
      <c r="I45" s="26" t="s">
        <v>17</v>
      </c>
      <c r="J45" s="26" t="s">
        <v>17</v>
      </c>
      <c r="K45" s="47">
        <f>E46*H46+E47*H47+E48*H48+E49*H49</f>
        <v>53922308.5</v>
      </c>
    </row>
    <row r="46" s="19" customFormat="1" ht="77.25" customHeight="1">
      <c r="A46" s="20"/>
      <c r="B46" s="30"/>
      <c r="C46" s="21" t="s">
        <v>32</v>
      </c>
      <c r="D46" s="20" t="s">
        <v>33</v>
      </c>
      <c r="E46" s="32">
        <f>K47</f>
        <v>87394.341166936792</v>
      </c>
      <c r="F46" s="25">
        <f t="shared" ref="F46:F49" si="6">33863817.159999996/617</f>
        <v>54884.630729335491</v>
      </c>
      <c r="G46" s="35">
        <f t="shared" ref="G46:G49" si="7">(7284435.3899999997)/617</f>
        <v>11806.216191247973</v>
      </c>
      <c r="H46" s="26">
        <v>276</v>
      </c>
      <c r="I46" s="26">
        <f t="shared" si="2"/>
        <v>276</v>
      </c>
      <c r="J46" s="26">
        <f t="shared" si="3"/>
        <v>276</v>
      </c>
      <c r="K46" s="27"/>
    </row>
    <row r="47" s="19" customFormat="1" ht="77.25" customHeight="1">
      <c r="A47" s="20"/>
      <c r="B47" s="30"/>
      <c r="C47" s="21" t="s">
        <v>34</v>
      </c>
      <c r="D47" s="20" t="s">
        <v>35</v>
      </c>
      <c r="E47" s="32">
        <f>K47</f>
        <v>87394.341166936792</v>
      </c>
      <c r="F47" s="25">
        <f t="shared" si="6"/>
        <v>54884.630729335491</v>
      </c>
      <c r="G47" s="35">
        <f t="shared" si="7"/>
        <v>11806.216191247973</v>
      </c>
      <c r="H47" s="26">
        <v>297</v>
      </c>
      <c r="I47" s="26">
        <f t="shared" si="2"/>
        <v>297</v>
      </c>
      <c r="J47" s="26">
        <f t="shared" si="3"/>
        <v>297</v>
      </c>
      <c r="K47" s="27">
        <f>E45/(H46+H47+H48+H49)</f>
        <v>87394.341166936792</v>
      </c>
    </row>
    <row r="48" s="19" customFormat="1" ht="96" customHeight="1">
      <c r="A48" s="20"/>
      <c r="B48" s="30"/>
      <c r="C48" s="21" t="s">
        <v>39</v>
      </c>
      <c r="D48" s="20" t="s">
        <v>40</v>
      </c>
      <c r="E48" s="32">
        <f>K47</f>
        <v>87394.341166936792</v>
      </c>
      <c r="F48" s="25">
        <f t="shared" si="6"/>
        <v>54884.630729335491</v>
      </c>
      <c r="G48" s="35">
        <f t="shared" si="7"/>
        <v>11806.216191247973</v>
      </c>
      <c r="H48" s="26">
        <v>0</v>
      </c>
      <c r="I48" s="26">
        <v>0</v>
      </c>
      <c r="J48" s="26">
        <v>0</v>
      </c>
    </row>
    <row r="49" s="19" customFormat="1" ht="69">
      <c r="A49" s="20"/>
      <c r="B49" s="30"/>
      <c r="C49" s="21" t="s">
        <v>41</v>
      </c>
      <c r="D49" s="20" t="s">
        <v>37</v>
      </c>
      <c r="E49" s="32">
        <f>K47</f>
        <v>87394.341166936792</v>
      </c>
      <c r="F49" s="25">
        <f t="shared" si="6"/>
        <v>54884.630729335491</v>
      </c>
      <c r="G49" s="35">
        <f t="shared" si="7"/>
        <v>11806.216191247973</v>
      </c>
      <c r="H49" s="26">
        <v>44</v>
      </c>
      <c r="I49" s="26">
        <f t="shared" si="2"/>
        <v>44</v>
      </c>
      <c r="J49" s="26">
        <f t="shared" si="3"/>
        <v>44</v>
      </c>
    </row>
    <row r="50" s="19" customFormat="1" ht="24.75" customHeight="1">
      <c r="A50" s="20">
        <v>10</v>
      </c>
      <c r="B50" s="30" t="s">
        <v>30</v>
      </c>
      <c r="C50" s="45" t="s">
        <v>43</v>
      </c>
      <c r="D50" s="20"/>
      <c r="E50" s="17">
        <f>44393384.210000001</f>
        <v>44393384.210000001</v>
      </c>
      <c r="F50" s="26" t="s">
        <v>17</v>
      </c>
      <c r="G50" s="26" t="s">
        <v>17</v>
      </c>
      <c r="H50" s="26" t="s">
        <v>17</v>
      </c>
      <c r="I50" s="26" t="s">
        <v>17</v>
      </c>
      <c r="J50" s="26" t="s">
        <v>17</v>
      </c>
      <c r="K50" s="47">
        <f>E51*H51+E52*H52+E54*H54</f>
        <v>44393384.210000001</v>
      </c>
    </row>
    <row r="51" s="19" customFormat="1" ht="75" customHeight="1">
      <c r="A51" s="20"/>
      <c r="B51" s="30"/>
      <c r="C51" s="21" t="s">
        <v>32</v>
      </c>
      <c r="D51" s="20" t="s">
        <v>33</v>
      </c>
      <c r="E51" s="32">
        <f>K51</f>
        <v>177573.53684000002</v>
      </c>
      <c r="F51" s="35">
        <f t="shared" ref="F51:F54" si="8">33199047.73/250</f>
        <v>132796.19091999999</v>
      </c>
      <c r="G51" s="25">
        <f t="shared" ref="G51:G54" si="9">(3874163.3999999999)/250</f>
        <v>15496.6536</v>
      </c>
      <c r="H51" s="26">
        <v>105</v>
      </c>
      <c r="I51" s="26">
        <f t="shared" si="2"/>
        <v>105</v>
      </c>
      <c r="J51" s="26">
        <f t="shared" si="3"/>
        <v>105</v>
      </c>
      <c r="K51" s="27">
        <f>E50/(H51+H52+H54)</f>
        <v>177573.53684000002</v>
      </c>
    </row>
    <row r="52" s="19" customFormat="1" ht="84.75" customHeight="1">
      <c r="A52" s="20"/>
      <c r="B52" s="30"/>
      <c r="C52" s="21" t="s">
        <v>34</v>
      </c>
      <c r="D52" s="20" t="s">
        <v>35</v>
      </c>
      <c r="E52" s="32">
        <f>K51</f>
        <v>177573.53684000002</v>
      </c>
      <c r="F52" s="35">
        <f t="shared" si="8"/>
        <v>132796.19091999999</v>
      </c>
      <c r="G52" s="25">
        <f t="shared" si="9"/>
        <v>15496.6536</v>
      </c>
      <c r="H52" s="26">
        <v>122</v>
      </c>
      <c r="I52" s="26">
        <f t="shared" si="2"/>
        <v>122</v>
      </c>
      <c r="J52" s="26">
        <f t="shared" si="3"/>
        <v>122</v>
      </c>
    </row>
    <row r="53" s="19" customFormat="1" ht="78" customHeight="1">
      <c r="A53" s="20"/>
      <c r="B53" s="30"/>
      <c r="C53" s="21" t="s">
        <v>39</v>
      </c>
      <c r="D53" s="20" t="s">
        <v>44</v>
      </c>
      <c r="E53" s="32">
        <f>E52</f>
        <v>177573.53684000002</v>
      </c>
      <c r="F53" s="35">
        <f t="shared" si="8"/>
        <v>132796.19091999999</v>
      </c>
      <c r="G53" s="25">
        <f t="shared" si="9"/>
        <v>15496.6536</v>
      </c>
      <c r="H53" s="26">
        <v>0</v>
      </c>
      <c r="I53" s="26">
        <v>0</v>
      </c>
      <c r="J53" s="26">
        <v>0</v>
      </c>
    </row>
    <row r="54" s="19" customFormat="1" ht="74.25" customHeight="1">
      <c r="A54" s="20"/>
      <c r="B54" s="30"/>
      <c r="C54" s="21" t="s">
        <v>36</v>
      </c>
      <c r="D54" s="20" t="s">
        <v>37</v>
      </c>
      <c r="E54" s="32">
        <f>K51</f>
        <v>177573.53684000002</v>
      </c>
      <c r="F54" s="35">
        <f t="shared" si="8"/>
        <v>132796.19091999999</v>
      </c>
      <c r="G54" s="25">
        <f t="shared" si="9"/>
        <v>15496.6536</v>
      </c>
      <c r="H54" s="26">
        <v>23</v>
      </c>
      <c r="I54" s="26">
        <f t="shared" si="2"/>
        <v>23</v>
      </c>
      <c r="J54" s="26">
        <f t="shared" si="3"/>
        <v>23</v>
      </c>
    </row>
    <row r="55" s="19" customFormat="1" ht="4.5" hidden="1" customHeight="1">
      <c r="A55" s="20"/>
      <c r="B55" s="30"/>
      <c r="C55" s="21" t="s">
        <v>45</v>
      </c>
      <c r="D55" s="20" t="s">
        <v>46</v>
      </c>
      <c r="E55" s="48"/>
      <c r="F55" s="24">
        <v>0</v>
      </c>
      <c r="G55" s="35"/>
      <c r="H55" s="34">
        <v>0</v>
      </c>
      <c r="I55" s="34">
        <v>0</v>
      </c>
      <c r="J55" s="34">
        <v>0</v>
      </c>
    </row>
    <row r="56" s="19" customFormat="1" ht="17.25">
      <c r="A56" s="20">
        <v>11</v>
      </c>
      <c r="B56" s="30" t="s">
        <v>30</v>
      </c>
      <c r="C56" s="45" t="s">
        <v>47</v>
      </c>
      <c r="D56" s="20"/>
      <c r="E56" s="17">
        <f>43538314.479999997</f>
        <v>43538314.479999997</v>
      </c>
      <c r="F56" s="26" t="s">
        <v>17</v>
      </c>
      <c r="G56" s="26" t="s">
        <v>17</v>
      </c>
      <c r="H56" s="26" t="s">
        <v>17</v>
      </c>
      <c r="I56" s="26" t="s">
        <v>17</v>
      </c>
      <c r="J56" s="26" t="s">
        <v>17</v>
      </c>
      <c r="K56" s="47">
        <f>E57*H57+E58*H58+E59*H59+E60*H60</f>
        <v>43538314.479999997</v>
      </c>
    </row>
    <row r="57" s="19" customFormat="1" ht="75.75" customHeight="1">
      <c r="A57" s="20"/>
      <c r="B57" s="30"/>
      <c r="C57" s="21" t="s">
        <v>32</v>
      </c>
      <c r="D57" s="20" t="s">
        <v>33</v>
      </c>
      <c r="E57" s="32">
        <f>K57</f>
        <v>81685.393020637886</v>
      </c>
      <c r="F57" s="35">
        <f t="shared" ref="F57:F60" si="10">31047320.329999998/533</f>
        <v>58250.131951219511</v>
      </c>
      <c r="G57" s="25">
        <f t="shared" ref="G57:G60" si="11">(5853133.8399999999)/533</f>
        <v>10981.489380863039</v>
      </c>
      <c r="H57" s="26">
        <v>195</v>
      </c>
      <c r="I57" s="26">
        <f t="shared" si="2"/>
        <v>195</v>
      </c>
      <c r="J57" s="26">
        <f t="shared" si="3"/>
        <v>195</v>
      </c>
      <c r="K57" s="27">
        <f>E56/(H57+H58+H59+H60)</f>
        <v>81685.393020637886</v>
      </c>
    </row>
    <row r="58" s="19" customFormat="1" ht="79.5" customHeight="1">
      <c r="A58" s="20"/>
      <c r="B58" s="30"/>
      <c r="C58" s="21" t="s">
        <v>34</v>
      </c>
      <c r="D58" s="20" t="s">
        <v>35</v>
      </c>
      <c r="E58" s="32">
        <f>K57</f>
        <v>81685.393020637886</v>
      </c>
      <c r="F58" s="35">
        <f t="shared" si="10"/>
        <v>58250.131951219511</v>
      </c>
      <c r="G58" s="25">
        <f t="shared" si="11"/>
        <v>10981.489380863039</v>
      </c>
      <c r="H58" s="26">
        <v>294</v>
      </c>
      <c r="I58" s="26">
        <f t="shared" si="2"/>
        <v>294</v>
      </c>
      <c r="J58" s="26">
        <f t="shared" si="3"/>
        <v>294</v>
      </c>
    </row>
    <row r="59" s="19" customFormat="1" ht="100.5" customHeight="1">
      <c r="A59" s="20"/>
      <c r="B59" s="30"/>
      <c r="C59" s="21" t="s">
        <v>39</v>
      </c>
      <c r="D59" s="20" t="s">
        <v>40</v>
      </c>
      <c r="E59" s="32">
        <f>K57</f>
        <v>81685.393020637886</v>
      </c>
      <c r="F59" s="35">
        <f t="shared" si="10"/>
        <v>58250.131951219511</v>
      </c>
      <c r="G59" s="25">
        <f t="shared" si="11"/>
        <v>10981.489380863039</v>
      </c>
      <c r="H59" s="26">
        <v>0</v>
      </c>
      <c r="I59" s="26">
        <v>0</v>
      </c>
      <c r="J59" s="26">
        <v>0</v>
      </c>
    </row>
    <row r="60" s="19" customFormat="1" ht="69">
      <c r="A60" s="20"/>
      <c r="B60" s="30"/>
      <c r="C60" s="21" t="s">
        <v>41</v>
      </c>
      <c r="D60" s="20" t="s">
        <v>37</v>
      </c>
      <c r="E60" s="32">
        <f>K57</f>
        <v>81685.393020637886</v>
      </c>
      <c r="F60" s="35">
        <f t="shared" si="10"/>
        <v>58250.131951219511</v>
      </c>
      <c r="G60" s="25">
        <f t="shared" si="11"/>
        <v>10981.489380863039</v>
      </c>
      <c r="H60" s="26">
        <v>44</v>
      </c>
      <c r="I60" s="26">
        <f t="shared" si="2"/>
        <v>44</v>
      </c>
      <c r="J60" s="26">
        <f t="shared" si="3"/>
        <v>44</v>
      </c>
    </row>
    <row r="61" s="19" customFormat="1" hidden="1">
      <c r="A61" s="20"/>
      <c r="B61" s="30"/>
      <c r="C61" s="21" t="s">
        <v>45</v>
      </c>
      <c r="D61" s="20" t="s">
        <v>46</v>
      </c>
      <c r="E61" s="32">
        <v>11615.774361702128</v>
      </c>
      <c r="F61" s="24">
        <v>0</v>
      </c>
      <c r="G61" s="35">
        <v>4965.8877507598791</v>
      </c>
      <c r="H61" s="34">
        <v>0</v>
      </c>
      <c r="I61" s="34">
        <v>0</v>
      </c>
      <c r="J61" s="34">
        <v>0</v>
      </c>
    </row>
    <row r="62" s="19" customFormat="1" ht="17.25">
      <c r="A62" s="20">
        <v>12</v>
      </c>
      <c r="B62" s="30" t="s">
        <v>30</v>
      </c>
      <c r="C62" s="45" t="s">
        <v>48</v>
      </c>
      <c r="D62" s="20"/>
      <c r="E62" s="17">
        <f>9888081.75</f>
        <v>9888081.75</v>
      </c>
      <c r="F62" s="26" t="s">
        <v>17</v>
      </c>
      <c r="G62" s="26" t="s">
        <v>17</v>
      </c>
      <c r="H62" s="26" t="s">
        <v>17</v>
      </c>
      <c r="I62" s="26" t="s">
        <v>17</v>
      </c>
      <c r="J62" s="26" t="s">
        <v>17</v>
      </c>
      <c r="K62" s="47"/>
    </row>
    <row r="63" s="19" customFormat="1" ht="45.75" customHeight="1">
      <c r="A63" s="20"/>
      <c r="B63" s="30"/>
      <c r="C63" s="21" t="s">
        <v>32</v>
      </c>
      <c r="D63" s="20" t="s">
        <v>33</v>
      </c>
      <c r="E63" s="32">
        <f>K63</f>
        <v>154501.27734375</v>
      </c>
      <c r="F63" s="24">
        <f t="shared" ref="F63:F64" si="12">5747184.5099999998/64</f>
        <v>89799.757968749997</v>
      </c>
      <c r="G63" s="25">
        <f t="shared" ref="G63:G64" si="13">(1516354.7)/64</f>
        <v>23693.042187499999</v>
      </c>
      <c r="H63" s="26">
        <v>31</v>
      </c>
      <c r="I63" s="26">
        <f t="shared" si="2"/>
        <v>31</v>
      </c>
      <c r="J63" s="26">
        <f t="shared" si="3"/>
        <v>31</v>
      </c>
      <c r="K63" s="27">
        <f>E62/(H63+H64)</f>
        <v>154501.27734375</v>
      </c>
    </row>
    <row r="64" s="19" customFormat="1" ht="83.25" customHeight="1">
      <c r="A64" s="20"/>
      <c r="B64" s="30"/>
      <c r="C64" s="21" t="s">
        <v>34</v>
      </c>
      <c r="D64" s="20" t="s">
        <v>35</v>
      </c>
      <c r="E64" s="32">
        <f>K63</f>
        <v>154501.27734375</v>
      </c>
      <c r="F64" s="24">
        <f t="shared" si="12"/>
        <v>89799.757968749997</v>
      </c>
      <c r="G64" s="25">
        <f t="shared" si="13"/>
        <v>23693.042187499999</v>
      </c>
      <c r="H64" s="26">
        <v>33</v>
      </c>
      <c r="I64" s="26">
        <f t="shared" si="2"/>
        <v>33</v>
      </c>
      <c r="J64" s="26">
        <f t="shared" si="3"/>
        <v>33</v>
      </c>
    </row>
    <row r="65" s="19" customFormat="1" ht="21" customHeight="1">
      <c r="A65" s="20"/>
      <c r="B65" s="30"/>
      <c r="C65" s="49"/>
      <c r="D65" s="49"/>
      <c r="E65" s="28"/>
      <c r="F65" s="24"/>
      <c r="G65" s="24"/>
      <c r="H65" s="34"/>
      <c r="I65" s="34"/>
      <c r="J65" s="34"/>
    </row>
    <row r="66" s="19" customFormat="1" ht="20.25" customHeight="1">
      <c r="A66" s="20"/>
      <c r="B66" s="30" t="s">
        <v>30</v>
      </c>
      <c r="C66" s="50" t="s">
        <v>49</v>
      </c>
      <c r="D66" s="50"/>
      <c r="E66" s="17">
        <f>E36+E40+E45+E50+E56+E62</f>
        <v>305545021</v>
      </c>
      <c r="F66" s="24"/>
      <c r="G66" s="24"/>
      <c r="H66" s="34"/>
      <c r="I66" s="34"/>
      <c r="J66" s="34"/>
      <c r="K66" s="51"/>
      <c r="L66" s="52"/>
      <c r="N66" s="47"/>
    </row>
    <row r="67" s="19" customFormat="1" ht="17.25" customHeight="1">
      <c r="A67" s="20"/>
      <c r="B67" s="30"/>
      <c r="C67" s="30"/>
      <c r="D67" s="53"/>
      <c r="E67" s="17"/>
      <c r="F67" s="53"/>
      <c r="G67" s="53"/>
      <c r="H67" s="34"/>
      <c r="I67" s="34"/>
      <c r="J67" s="34"/>
      <c r="K67" s="47"/>
    </row>
    <row r="68" s="19" customFormat="1">
      <c r="A68" s="20">
        <v>13</v>
      </c>
      <c r="B68" s="30" t="s">
        <v>50</v>
      </c>
      <c r="C68" s="46" t="s">
        <v>51</v>
      </c>
      <c r="D68" s="12"/>
      <c r="E68" s="17">
        <v>18386615</v>
      </c>
      <c r="F68" s="26" t="s">
        <v>17</v>
      </c>
      <c r="G68" s="26" t="s">
        <v>17</v>
      </c>
      <c r="H68" s="26" t="s">
        <v>17</v>
      </c>
      <c r="I68" s="26" t="s">
        <v>17</v>
      </c>
      <c r="J68" s="26" t="s">
        <v>17</v>
      </c>
      <c r="K68" s="47"/>
    </row>
    <row r="69" s="19" customFormat="1">
      <c r="A69" s="20"/>
      <c r="B69" s="30"/>
      <c r="C69" s="21" t="s">
        <v>52</v>
      </c>
      <c r="D69" s="20" t="s">
        <v>53</v>
      </c>
      <c r="E69" s="32">
        <f>E68/H69</f>
        <v>42268.080459770114</v>
      </c>
      <c r="F69" s="35">
        <f>(17238860)/435</f>
        <v>39629.563218390802</v>
      </c>
      <c r="G69" s="35">
        <f>(1147760)/435</f>
        <v>2638.5287356321837</v>
      </c>
      <c r="H69" s="26">
        <v>435</v>
      </c>
      <c r="I69" s="26">
        <f t="shared" si="2"/>
        <v>435</v>
      </c>
      <c r="J69" s="26">
        <f t="shared" si="3"/>
        <v>435</v>
      </c>
      <c r="K69" s="54"/>
      <c r="L69" s="52"/>
      <c r="N69" s="47"/>
    </row>
    <row r="70" s="19" customFormat="1" ht="19.5" hidden="1" customHeight="1">
      <c r="A70" s="20"/>
      <c r="B70" s="30" t="s">
        <v>50</v>
      </c>
      <c r="C70" s="55" t="s">
        <v>54</v>
      </c>
      <c r="D70" s="55"/>
      <c r="E70" s="45"/>
      <c r="F70" s="56"/>
      <c r="G70" s="56"/>
      <c r="H70" s="34"/>
      <c r="I70" s="34"/>
      <c r="J70" s="34"/>
    </row>
    <row r="71" s="14" customFormat="1" hidden="1">
      <c r="A71" s="57" t="s">
        <v>55</v>
      </c>
      <c r="B71" s="57"/>
      <c r="C71" s="57"/>
      <c r="D71" s="57"/>
      <c r="E71" s="57"/>
      <c r="F71" s="12" t="s">
        <v>17</v>
      </c>
      <c r="G71" s="12" t="s">
        <v>17</v>
      </c>
      <c r="H71" s="12" t="s">
        <v>17</v>
      </c>
      <c r="I71" s="12" t="s">
        <v>17</v>
      </c>
      <c r="J71" s="12" t="s">
        <v>17</v>
      </c>
    </row>
    <row r="72" s="14" customFormat="1" hidden="1">
      <c r="A72" s="57" t="s">
        <v>56</v>
      </c>
      <c r="B72" s="57"/>
      <c r="C72" s="57"/>
      <c r="D72" s="57"/>
      <c r="E72" s="57"/>
      <c r="F72" s="12" t="s">
        <v>17</v>
      </c>
      <c r="G72" s="12" t="s">
        <v>17</v>
      </c>
      <c r="H72" s="12" t="s">
        <v>17</v>
      </c>
      <c r="I72" s="12" t="s">
        <v>17</v>
      </c>
      <c r="J72" s="12" t="s">
        <v>17</v>
      </c>
    </row>
    <row r="73" s="19" customFormat="1" ht="86.25" customHeight="1">
      <c r="A73" s="20">
        <v>14</v>
      </c>
      <c r="B73" s="30" t="s">
        <v>57</v>
      </c>
      <c r="C73" s="58" t="s">
        <v>58</v>
      </c>
      <c r="D73" s="20"/>
      <c r="E73" s="59">
        <v>13915190</v>
      </c>
      <c r="F73" s="35"/>
      <c r="G73" s="35"/>
      <c r="H73" s="26"/>
      <c r="I73" s="26"/>
      <c r="J73" s="26"/>
      <c r="K73" s="44">
        <f>(E74*H74)+(E75*H75)</f>
        <v>13915190</v>
      </c>
      <c r="L73" s="52"/>
      <c r="N73" s="47"/>
    </row>
    <row r="74" s="19" customFormat="1" ht="86.25" customHeight="1">
      <c r="A74" s="20"/>
      <c r="B74" s="30" t="s">
        <v>57</v>
      </c>
      <c r="C74" s="21" t="s">
        <v>59</v>
      </c>
      <c r="D74" s="20" t="s">
        <v>60</v>
      </c>
      <c r="E74" s="32">
        <f>K74</f>
        <v>239917.06896551725</v>
      </c>
      <c r="F74" s="35">
        <f t="shared" ref="F74:F75" si="14">(8657490)/58</f>
        <v>149267.06896551725</v>
      </c>
      <c r="G74" s="35">
        <f t="shared" ref="G74:G75" si="15">(5257700)/58</f>
        <v>90650</v>
      </c>
      <c r="H74" s="26">
        <v>27</v>
      </c>
      <c r="I74" s="26">
        <f t="shared" si="2"/>
        <v>27</v>
      </c>
      <c r="J74" s="26">
        <f t="shared" si="3"/>
        <v>27</v>
      </c>
      <c r="K74" s="33">
        <f>E73/(H74+H75)</f>
        <v>239917.06896551725</v>
      </c>
      <c r="L74" s="52"/>
      <c r="N74" s="47"/>
    </row>
    <row r="75" s="19" customFormat="1" ht="86.25" customHeight="1">
      <c r="A75" s="20"/>
      <c r="B75" s="30" t="s">
        <v>57</v>
      </c>
      <c r="C75" s="21" t="s">
        <v>59</v>
      </c>
      <c r="D75" s="20" t="s">
        <v>61</v>
      </c>
      <c r="E75" s="32">
        <f>K74</f>
        <v>239917.06896551725</v>
      </c>
      <c r="F75" s="35">
        <f t="shared" si="14"/>
        <v>149267.06896551725</v>
      </c>
      <c r="G75" s="35">
        <f t="shared" si="15"/>
        <v>90650</v>
      </c>
      <c r="H75" s="26">
        <v>31</v>
      </c>
      <c r="I75" s="26">
        <f t="shared" si="2"/>
        <v>31</v>
      </c>
      <c r="J75" s="26">
        <f t="shared" si="3"/>
        <v>31</v>
      </c>
      <c r="K75" s="54"/>
      <c r="L75" s="52"/>
      <c r="N75" s="47"/>
    </row>
  </sheetData>
  <mergeCells count="17">
    <mergeCell ref="F2:J2"/>
    <mergeCell ref="G3:J3"/>
    <mergeCell ref="B4:G4"/>
    <mergeCell ref="A6:J6"/>
    <mergeCell ref="A8:A9"/>
    <mergeCell ref="B8:B9"/>
    <mergeCell ref="C8:C9"/>
    <mergeCell ref="D8:D9"/>
    <mergeCell ref="E8:E9"/>
    <mergeCell ref="F8:G8"/>
    <mergeCell ref="H8:J8"/>
    <mergeCell ref="C35:D35"/>
    <mergeCell ref="C65:D65"/>
    <mergeCell ref="C66:D66"/>
    <mergeCell ref="C70:D70"/>
    <mergeCell ref="A71:E71"/>
    <mergeCell ref="A72:E72"/>
  </mergeCells>
  <hyperlinks>
    <hyperlink location="Par866" ref="C14"/>
    <hyperlink location="Par866" ref="C17"/>
    <hyperlink location="Par866" ref="C21"/>
    <hyperlink location="Par866" ref="C25"/>
    <hyperlink location="Par866" ref="C29"/>
    <hyperlink location="Par866" ref="C33"/>
  </hyperlinks>
  <printOptions headings="0" gridLines="0"/>
  <pageMargins left="0.78740199999999982" right="0.78740199999999982" top="1.1811020000000001" bottom="0.59055100000000005" header="0" footer="0"/>
  <pageSetup paperSize="9" scale="79" firstPageNumber="1" fitToWidth="1" fitToHeight="1" pageOrder="downThenOver" orientation="landscape" usePrinterDefaults="1" blackAndWhite="0" draft="0" cellComments="none" useFirstPageNumber="0" errors="displayed" horizontalDpi="600" verticalDpi="600" copies="1"/>
  <headerFooter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Р7-Офис/2024.1.3.422</Application>
  <DocSecurity>0</DocSecurity>
  <HyperlinksChanged>false</HyperlinksChanged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revision>1</cp:revision>
  <dcterms:created xsi:type="dcterms:W3CDTF">2006-09-28T05:33:00Z</dcterms:created>
  <dcterms:modified xsi:type="dcterms:W3CDTF">2024-06-18T06:21:57Z</dcterms:modified>
  <cp:version>1048576</cp:version>
</cp:coreProperties>
</file>